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Users\bwatson\Documents\Documents\Budget 25-26\"/>
    </mc:Choice>
  </mc:AlternateContent>
  <xr:revisionPtr revIDLastSave="0" documentId="13_ncr:1_{AB81D7B1-B222-40E2-B5C4-CC1055E0D6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nual FY25-26" sheetId="1" r:id="rId1"/>
    <sheet name="CSPC Indicators" sheetId="3" r:id="rId2"/>
  </sheets>
  <externalReferences>
    <externalReference r:id="rId3"/>
  </externalReferences>
  <definedNames>
    <definedName name="_xlnm.Print_Area" localSheetId="0">'Annual FY25-26'!$A$1:$N$154</definedName>
    <definedName name="_xlnm.Print_Area" localSheetId="1">'CSPC Indicators'!$A$1:$E$21</definedName>
    <definedName name="Print_Area_MI" localSheetId="1">'CSPC Indicators'!#REF!</definedName>
    <definedName name="Print_Area_MI">'Annual FY25-26'!#REF!</definedName>
    <definedName name="_xlnm.Print_Titles" localSheetId="0">'Annual FY25-26'!$1:$11</definedName>
    <definedName name="_xlnm.Print_Titles" localSheetId="1">'CSPC Indicators'!$1:$11</definedName>
    <definedName name="Print_Titles_MI" localSheetId="1">'CSPC Indicators'!$1:$11</definedName>
    <definedName name="Print_Titles_MI">'Annual FY25-26'!$1:$11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0" i="1" l="1"/>
  <c r="H99" i="1"/>
  <c r="H98" i="1"/>
  <c r="H97" i="1"/>
  <c r="H57" i="1"/>
  <c r="F100" i="1"/>
  <c r="F99" i="1"/>
  <c r="F98" i="1"/>
  <c r="F97" i="1"/>
  <c r="H33" i="1"/>
  <c r="H19" i="1"/>
  <c r="F19" i="1"/>
  <c r="G123" i="1"/>
  <c r="F152" i="1" l="1"/>
  <c r="F130" i="1"/>
  <c r="F115" i="1"/>
  <c r="H123" i="1"/>
  <c r="H121" i="1"/>
  <c r="H126" i="1"/>
  <c r="I121" i="1"/>
  <c r="G115" i="1"/>
  <c r="G14" i="1"/>
  <c r="G27" i="1" l="1"/>
  <c r="M102" i="1"/>
  <c r="I126" i="1"/>
  <c r="G88" i="1"/>
  <c r="I88" i="1"/>
  <c r="G126" i="1"/>
  <c r="G18" i="1"/>
  <c r="G116" i="1"/>
  <c r="G109" i="1"/>
  <c r="G99" i="1"/>
  <c r="G93" i="1"/>
  <c r="G89" i="1"/>
  <c r="I94" i="1"/>
  <c r="G94" i="1" s="1"/>
  <c r="I116" i="1"/>
  <c r="I100" i="1"/>
  <c r="G100" i="1" s="1"/>
  <c r="I99" i="1"/>
  <c r="I98" i="1"/>
  <c r="G98" i="1" s="1"/>
  <c r="I97" i="1"/>
  <c r="G97" i="1" s="1"/>
  <c r="I93" i="1"/>
  <c r="I109" i="1"/>
  <c r="I67" i="1"/>
  <c r="I130" i="1"/>
  <c r="I90" i="1"/>
  <c r="G90" i="1" s="1"/>
  <c r="I89" i="1"/>
  <c r="I63" i="1"/>
  <c r="I61" i="1"/>
  <c r="I60" i="1"/>
  <c r="I59" i="1"/>
  <c r="I101" i="1"/>
  <c r="G101" i="1" s="1"/>
  <c r="G120" i="1"/>
  <c r="G135" i="1"/>
  <c r="I23" i="1"/>
  <c r="F128" i="1"/>
  <c r="F127" i="1"/>
  <c r="F126" i="1"/>
  <c r="F123" i="1"/>
  <c r="F120" i="1"/>
  <c r="F119" i="1"/>
  <c r="F116" i="1"/>
  <c r="F114" i="1"/>
  <c r="F112" i="1"/>
  <c r="F109" i="1"/>
  <c r="F107" i="1"/>
  <c r="F106" i="1"/>
  <c r="H130" i="1"/>
  <c r="H122" i="1"/>
  <c r="H119" i="1"/>
  <c r="H116" i="1"/>
  <c r="H115" i="1"/>
  <c r="H109" i="1"/>
  <c r="H94" i="1"/>
  <c r="F103" i="1"/>
  <c r="F101" i="1"/>
  <c r="F94" i="1"/>
  <c r="F93" i="1"/>
  <c r="F92" i="1"/>
  <c r="H93" i="1"/>
  <c r="H91" i="1"/>
  <c r="F91" i="1"/>
  <c r="H90" i="1"/>
  <c r="F90" i="1"/>
  <c r="H89" i="1"/>
  <c r="F89" i="1"/>
  <c r="H88" i="1"/>
  <c r="F88" i="1"/>
  <c r="F87" i="1"/>
  <c r="F139" i="1"/>
  <c r="H135" i="1"/>
  <c r="H23" i="1"/>
  <c r="H81" i="1"/>
  <c r="H76" i="1"/>
  <c r="H74" i="1"/>
  <c r="H67" i="1"/>
  <c r="H66" i="1"/>
  <c r="H63" i="1"/>
  <c r="H59" i="1"/>
  <c r="H34" i="1"/>
  <c r="F34" i="1"/>
  <c r="F27" i="1"/>
  <c r="F20" i="1"/>
  <c r="F18" i="1"/>
  <c r="F23" i="1" s="1"/>
  <c r="G122" i="1"/>
  <c r="G128" i="1"/>
  <c r="G127" i="1"/>
  <c r="G114" i="1"/>
  <c r="G107" i="1"/>
  <c r="G106" i="1"/>
  <c r="G23" i="1" l="1"/>
  <c r="G103" i="1" l="1"/>
  <c r="G92" i="1"/>
  <c r="G87" i="1" l="1"/>
  <c r="G91" i="1" l="1"/>
  <c r="H95" i="1" l="1"/>
  <c r="I110" i="1"/>
  <c r="G117" i="1"/>
  <c r="I95" i="1"/>
  <c r="H143" i="1" l="1"/>
  <c r="F143" i="1"/>
  <c r="I104" i="1" l="1"/>
  <c r="I117" i="1"/>
  <c r="I124" i="1"/>
  <c r="I143" i="1"/>
  <c r="I137" i="1"/>
  <c r="I131" i="1"/>
  <c r="H110" i="1"/>
  <c r="H137" i="1"/>
  <c r="H131" i="1"/>
  <c r="H124" i="1"/>
  <c r="H117" i="1"/>
  <c r="H104" i="1"/>
  <c r="H149" i="1" l="1"/>
  <c r="I149" i="1"/>
  <c r="G137" i="1" l="1"/>
  <c r="G131" i="1"/>
  <c r="G124" i="1"/>
  <c r="G110" i="1"/>
  <c r="F137" i="1"/>
  <c r="F131" i="1"/>
  <c r="F124" i="1"/>
  <c r="F117" i="1"/>
  <c r="F110" i="1"/>
  <c r="F104" i="1"/>
  <c r="F95" i="1"/>
  <c r="I41" i="1"/>
  <c r="H41" i="1"/>
  <c r="F41" i="1"/>
  <c r="G41" i="1"/>
  <c r="F149" i="1" l="1"/>
  <c r="K64" i="1"/>
  <c r="J64" i="1"/>
  <c r="M64" i="1" l="1"/>
  <c r="J152" i="1" l="1"/>
  <c r="J139" i="1"/>
  <c r="J69" i="1"/>
  <c r="K69" i="1"/>
  <c r="J62" i="1"/>
  <c r="K62" i="1"/>
  <c r="J58" i="1"/>
  <c r="K58" i="1"/>
  <c r="J55" i="1"/>
  <c r="K55" i="1"/>
  <c r="J56" i="1"/>
  <c r="K56" i="1"/>
  <c r="J54" i="1"/>
  <c r="K54" i="1"/>
  <c r="J50" i="1"/>
  <c r="K50" i="1"/>
  <c r="J51" i="1"/>
  <c r="K51" i="1"/>
  <c r="J52" i="1"/>
  <c r="K52" i="1"/>
  <c r="J36" i="1"/>
  <c r="K36" i="1"/>
  <c r="J37" i="1"/>
  <c r="K37" i="1"/>
  <c r="J30" i="1"/>
  <c r="K30" i="1"/>
  <c r="J14" i="1"/>
  <c r="J20" i="1"/>
  <c r="K20" i="1"/>
  <c r="J17" i="1"/>
  <c r="K17" i="1"/>
  <c r="J146" i="1"/>
  <c r="K146" i="1"/>
  <c r="J72" i="1"/>
  <c r="K72" i="1"/>
  <c r="J73" i="1"/>
  <c r="K73" i="1"/>
  <c r="J74" i="1"/>
  <c r="K74" i="1"/>
  <c r="J70" i="1"/>
  <c r="K70" i="1"/>
  <c r="J27" i="1"/>
  <c r="K34" i="1"/>
  <c r="K35" i="1"/>
  <c r="K38" i="1"/>
  <c r="J34" i="1"/>
  <c r="J35" i="1"/>
  <c r="J38" i="1"/>
  <c r="K147" i="1"/>
  <c r="K145" i="1"/>
  <c r="K141" i="1"/>
  <c r="K142" i="1"/>
  <c r="K140" i="1"/>
  <c r="K136" i="1"/>
  <c r="K135" i="1"/>
  <c r="K134" i="1"/>
  <c r="K133" i="1"/>
  <c r="K130" i="1"/>
  <c r="K129" i="1"/>
  <c r="K128" i="1"/>
  <c r="K127" i="1"/>
  <c r="K126" i="1"/>
  <c r="K123" i="1"/>
  <c r="K122" i="1"/>
  <c r="K121" i="1"/>
  <c r="K120" i="1"/>
  <c r="K119" i="1"/>
  <c r="K116" i="1"/>
  <c r="K115" i="1"/>
  <c r="K114" i="1"/>
  <c r="K113" i="1"/>
  <c r="K112" i="1"/>
  <c r="K109" i="1"/>
  <c r="K108" i="1"/>
  <c r="K107" i="1"/>
  <c r="K106" i="1"/>
  <c r="K102" i="1"/>
  <c r="K93" i="1"/>
  <c r="K92" i="1"/>
  <c r="K91" i="1"/>
  <c r="K89" i="1"/>
  <c r="K88" i="1"/>
  <c r="K87" i="1"/>
  <c r="I78" i="1"/>
  <c r="G78" i="1"/>
  <c r="K81" i="1"/>
  <c r="K82" i="1"/>
  <c r="K77" i="1"/>
  <c r="K76" i="1"/>
  <c r="K75" i="1"/>
  <c r="K71" i="1"/>
  <c r="K68" i="1"/>
  <c r="K67" i="1"/>
  <c r="K66" i="1"/>
  <c r="K65" i="1"/>
  <c r="K63" i="1"/>
  <c r="K61" i="1"/>
  <c r="K60" i="1"/>
  <c r="K59" i="1"/>
  <c r="K57" i="1"/>
  <c r="K53" i="1"/>
  <c r="K49" i="1"/>
  <c r="K40" i="1"/>
  <c r="K39" i="1"/>
  <c r="K33" i="1"/>
  <c r="K32" i="1"/>
  <c r="K31" i="1"/>
  <c r="K29" i="1"/>
  <c r="K27" i="1"/>
  <c r="K19" i="1"/>
  <c r="K18" i="1"/>
  <c r="K16" i="1"/>
  <c r="K15" i="1"/>
  <c r="K14" i="1"/>
  <c r="J87" i="1"/>
  <c r="J147" i="1"/>
  <c r="J145" i="1"/>
  <c r="J141" i="1"/>
  <c r="J142" i="1"/>
  <c r="J140" i="1"/>
  <c r="J136" i="1"/>
  <c r="J135" i="1"/>
  <c r="J134" i="1"/>
  <c r="J133" i="1"/>
  <c r="J130" i="1"/>
  <c r="J129" i="1"/>
  <c r="J128" i="1"/>
  <c r="J127" i="1"/>
  <c r="J126" i="1"/>
  <c r="J123" i="1"/>
  <c r="J122" i="1"/>
  <c r="J121" i="1"/>
  <c r="J120" i="1"/>
  <c r="J119" i="1"/>
  <c r="J116" i="1"/>
  <c r="J115" i="1"/>
  <c r="J114" i="1"/>
  <c r="J113" i="1"/>
  <c r="J112" i="1"/>
  <c r="J109" i="1"/>
  <c r="J108" i="1"/>
  <c r="J107" i="1"/>
  <c r="J106" i="1"/>
  <c r="J103" i="1"/>
  <c r="J102" i="1"/>
  <c r="J101" i="1"/>
  <c r="J100" i="1"/>
  <c r="J99" i="1"/>
  <c r="J98" i="1"/>
  <c r="J97" i="1"/>
  <c r="J94" i="1"/>
  <c r="J93" i="1"/>
  <c r="J92" i="1"/>
  <c r="J91" i="1"/>
  <c r="J90" i="1"/>
  <c r="J89" i="1"/>
  <c r="J88" i="1"/>
  <c r="H78" i="1"/>
  <c r="H83" i="1" s="1"/>
  <c r="F78" i="1"/>
  <c r="J81" i="1"/>
  <c r="J82" i="1"/>
  <c r="J77" i="1"/>
  <c r="J76" i="1"/>
  <c r="J75" i="1"/>
  <c r="J71" i="1"/>
  <c r="J68" i="1"/>
  <c r="J67" i="1"/>
  <c r="J66" i="1"/>
  <c r="J65" i="1"/>
  <c r="J63" i="1"/>
  <c r="J61" i="1"/>
  <c r="J60" i="1"/>
  <c r="J59" i="1"/>
  <c r="J57" i="1"/>
  <c r="J53" i="1"/>
  <c r="J49" i="1"/>
  <c r="J40" i="1"/>
  <c r="J39" i="1"/>
  <c r="J33" i="1"/>
  <c r="J32" i="1"/>
  <c r="J31" i="1"/>
  <c r="J29" i="1"/>
  <c r="J15" i="1"/>
  <c r="J16" i="1"/>
  <c r="J18" i="1"/>
  <c r="J19" i="1"/>
  <c r="J21" i="1"/>
  <c r="J22" i="1"/>
  <c r="K22" i="1"/>
  <c r="K21" i="1"/>
  <c r="M53" i="1" l="1"/>
  <c r="M136" i="1"/>
  <c r="M49" i="1"/>
  <c r="M50" i="1"/>
  <c r="M33" i="1"/>
  <c r="M39" i="1"/>
  <c r="M15" i="1"/>
  <c r="K41" i="1"/>
  <c r="J41" i="1"/>
  <c r="M54" i="1"/>
  <c r="M147" i="1"/>
  <c r="M113" i="1"/>
  <c r="M37" i="1"/>
  <c r="M121" i="1"/>
  <c r="M114" i="1"/>
  <c r="K110" i="1"/>
  <c r="J104" i="1"/>
  <c r="M135" i="1"/>
  <c r="M129" i="1"/>
  <c r="J131" i="1"/>
  <c r="M130" i="1"/>
  <c r="M127" i="1"/>
  <c r="M116" i="1"/>
  <c r="M107" i="1"/>
  <c r="M91" i="1"/>
  <c r="J95" i="1"/>
  <c r="M38" i="1"/>
  <c r="J23" i="1"/>
  <c r="M18" i="1"/>
  <c r="M89" i="1"/>
  <c r="M93" i="1"/>
  <c r="K148" i="1"/>
  <c r="J143" i="1"/>
  <c r="M120" i="1"/>
  <c r="M119" i="1"/>
  <c r="M123" i="1"/>
  <c r="M67" i="1"/>
  <c r="M76" i="1"/>
  <c r="M61" i="1"/>
  <c r="M27" i="1"/>
  <c r="M16" i="1"/>
  <c r="M108" i="1"/>
  <c r="J137" i="1"/>
  <c r="K117" i="1"/>
  <c r="M35" i="1"/>
  <c r="M109" i="1"/>
  <c r="M141" i="1"/>
  <c r="M72" i="1"/>
  <c r="M20" i="1"/>
  <c r="M133" i="1"/>
  <c r="M140" i="1"/>
  <c r="M145" i="1"/>
  <c r="M112" i="1"/>
  <c r="M122" i="1"/>
  <c r="M142" i="1"/>
  <c r="M134" i="1"/>
  <c r="K131" i="1"/>
  <c r="J148" i="1"/>
  <c r="M40" i="1"/>
  <c r="M59" i="1"/>
  <c r="M65" i="1"/>
  <c r="M71" i="1"/>
  <c r="M82" i="1"/>
  <c r="K137" i="1"/>
  <c r="M34" i="1"/>
  <c r="M30" i="1"/>
  <c r="M31" i="1"/>
  <c r="J78" i="1"/>
  <c r="M128" i="1"/>
  <c r="M70" i="1"/>
  <c r="M58" i="1"/>
  <c r="M69" i="1"/>
  <c r="M126" i="1"/>
  <c r="J124" i="1"/>
  <c r="M88" i="1"/>
  <c r="M92" i="1"/>
  <c r="M106" i="1"/>
  <c r="M115" i="1"/>
  <c r="K124" i="1"/>
  <c r="M36" i="1"/>
  <c r="M22" i="1"/>
  <c r="F83" i="1"/>
  <c r="M56" i="1"/>
  <c r="M75" i="1"/>
  <c r="M74" i="1"/>
  <c r="M17" i="1"/>
  <c r="M66" i="1"/>
  <c r="M55" i="1"/>
  <c r="M60" i="1"/>
  <c r="M19" i="1"/>
  <c r="M21" i="1"/>
  <c r="M32" i="1"/>
  <c r="M81" i="1"/>
  <c r="J110" i="1"/>
  <c r="M29" i="1"/>
  <c r="M57" i="1"/>
  <c r="I83" i="1"/>
  <c r="M87" i="1"/>
  <c r="M146" i="1"/>
  <c r="M52" i="1"/>
  <c r="M62" i="1"/>
  <c r="M51" i="1"/>
  <c r="M73" i="1"/>
  <c r="M14" i="1"/>
  <c r="M63" i="1"/>
  <c r="M68" i="1"/>
  <c r="M77" i="1"/>
  <c r="J117" i="1"/>
  <c r="K78" i="1"/>
  <c r="M41" i="1" l="1"/>
  <c r="M110" i="1"/>
  <c r="M131" i="1"/>
  <c r="M117" i="1"/>
  <c r="M148" i="1"/>
  <c r="M137" i="1"/>
  <c r="J83" i="1"/>
  <c r="E20" i="3" s="1"/>
  <c r="M124" i="1"/>
  <c r="I151" i="1"/>
  <c r="F151" i="1"/>
  <c r="F153" i="1" s="1"/>
  <c r="H151" i="1"/>
  <c r="H153" i="1" s="1"/>
  <c r="I152" i="1" s="1"/>
  <c r="J149" i="1"/>
  <c r="M78" i="1"/>
  <c r="E15" i="3" l="1"/>
  <c r="E19" i="3"/>
  <c r="E21" i="3" s="1"/>
  <c r="I153" i="1"/>
  <c r="J153" i="1"/>
  <c r="G152" i="1"/>
  <c r="K152" i="1" s="1"/>
  <c r="J151" i="1"/>
  <c r="K23" i="1"/>
  <c r="K83" i="1" s="1"/>
  <c r="L55" i="1" s="1"/>
  <c r="G83" i="1"/>
  <c r="G143" i="1" l="1"/>
  <c r="K143" i="1" s="1"/>
  <c r="M143" i="1" s="1"/>
  <c r="K139" i="1"/>
  <c r="M139" i="1" s="1"/>
  <c r="E14" i="3"/>
  <c r="E16" i="3" s="1"/>
  <c r="M23" i="1"/>
  <c r="L31" i="1"/>
  <c r="L29" i="1"/>
  <c r="L19" i="1"/>
  <c r="L58" i="1"/>
  <c r="L40" i="1"/>
  <c r="L66" i="1"/>
  <c r="L17" i="1"/>
  <c r="L83" i="1"/>
  <c r="L72" i="1"/>
  <c r="L51" i="1"/>
  <c r="L60" i="1"/>
  <c r="L50" i="1"/>
  <c r="L73" i="1"/>
  <c r="L78" i="1"/>
  <c r="L34" i="1"/>
  <c r="L59" i="1"/>
  <c r="L20" i="1"/>
  <c r="L68" i="1"/>
  <c r="L39" i="1"/>
  <c r="L77" i="1"/>
  <c r="L35" i="1"/>
  <c r="L63" i="1"/>
  <c r="L81" i="1"/>
  <c r="L52" i="1"/>
  <c r="L82" i="1"/>
  <c r="M83" i="1"/>
  <c r="L61" i="1"/>
  <c r="L67" i="1"/>
  <c r="L57" i="1"/>
  <c r="L23" i="1"/>
  <c r="L32" i="1"/>
  <c r="L30" i="1"/>
  <c r="L62" i="1"/>
  <c r="L70" i="1"/>
  <c r="L76" i="1"/>
  <c r="L37" i="1"/>
  <c r="L69" i="1"/>
  <c r="L56" i="1"/>
  <c r="L71" i="1"/>
  <c r="L64" i="1"/>
  <c r="L74" i="1"/>
  <c r="L41" i="1"/>
  <c r="L54" i="1"/>
  <c r="L33" i="1"/>
  <c r="L38" i="1"/>
  <c r="L18" i="1"/>
  <c r="L65" i="1"/>
  <c r="L22" i="1"/>
  <c r="L27" i="1"/>
  <c r="L49" i="1"/>
  <c r="L15" i="1"/>
  <c r="L36" i="1"/>
  <c r="L75" i="1"/>
  <c r="L16" i="1"/>
  <c r="L21" i="1"/>
  <c r="L14" i="1"/>
  <c r="L53" i="1"/>
  <c r="K90" i="1" l="1"/>
  <c r="M90" i="1" l="1"/>
  <c r="K101" i="1" l="1"/>
  <c r="M101" i="1" s="1"/>
  <c r="K103" i="1"/>
  <c r="M103" i="1" s="1"/>
  <c r="G95" i="1" l="1"/>
  <c r="K95" i="1" s="1"/>
  <c r="M95" i="1" s="1"/>
  <c r="K94" i="1"/>
  <c r="M94" i="1" s="1"/>
  <c r="K97" i="1" l="1"/>
  <c r="M97" i="1" l="1"/>
  <c r="K100" i="1" l="1"/>
  <c r="K98" i="1"/>
  <c r="M98" i="1" s="1"/>
  <c r="K99" i="1"/>
  <c r="M99" i="1" s="1"/>
  <c r="G104" i="1" l="1"/>
  <c r="K104" i="1" s="1"/>
  <c r="M100" i="1"/>
  <c r="G149" i="1" l="1"/>
  <c r="K149" i="1" s="1"/>
  <c r="L104" i="1" s="1"/>
  <c r="M104" i="1"/>
  <c r="G151" i="1" l="1"/>
  <c r="G153" i="1" s="1"/>
  <c r="K153" i="1" s="1"/>
  <c r="L103" i="1"/>
  <c r="L127" i="1"/>
  <c r="L92" i="1"/>
  <c r="L137" i="1"/>
  <c r="L91" i="1"/>
  <c r="L107" i="1"/>
  <c r="L119" i="1"/>
  <c r="L106" i="1"/>
  <c r="L115" i="1"/>
  <c r="L99" i="1"/>
  <c r="L102" i="1"/>
  <c r="L88" i="1"/>
  <c r="L139" i="1"/>
  <c r="L131" i="1"/>
  <c r="L123" i="1"/>
  <c r="L109" i="1"/>
  <c r="L114" i="1"/>
  <c r="L120" i="1"/>
  <c r="L97" i="1"/>
  <c r="M149" i="1"/>
  <c r="L122" i="1"/>
  <c r="L101" i="1"/>
  <c r="L148" i="1"/>
  <c r="L94" i="1"/>
  <c r="L149" i="1"/>
  <c r="L87" i="1"/>
  <c r="L113" i="1"/>
  <c r="L128" i="1"/>
  <c r="L110" i="1"/>
  <c r="L95" i="1"/>
  <c r="L135" i="1"/>
  <c r="L93" i="1"/>
  <c r="L90" i="1"/>
  <c r="L124" i="1"/>
  <c r="L143" i="1"/>
  <c r="L130" i="1"/>
  <c r="L141" i="1"/>
  <c r="L117" i="1"/>
  <c r="L147" i="1"/>
  <c r="L108" i="1"/>
  <c r="L121" i="1"/>
  <c r="L142" i="1"/>
  <c r="L136" i="1"/>
  <c r="L112" i="1"/>
  <c r="L126" i="1"/>
  <c r="L146" i="1"/>
  <c r="L89" i="1"/>
  <c r="L134" i="1"/>
  <c r="L116" i="1"/>
  <c r="L140" i="1"/>
  <c r="L129" i="1"/>
  <c r="L133" i="1"/>
  <c r="L145" i="1"/>
  <c r="L98" i="1"/>
  <c r="L100" i="1"/>
  <c r="K151" i="1" l="1"/>
</calcChain>
</file>

<file path=xl/sharedStrings.xml><?xml version="1.0" encoding="utf-8"?>
<sst xmlns="http://schemas.openxmlformats.org/spreadsheetml/2006/main" count="229" uniqueCount="211">
  <si>
    <t xml:space="preserve">School Name:  </t>
  </si>
  <si>
    <t>Item</t>
  </si>
  <si>
    <t>References</t>
  </si>
  <si>
    <t>School Food Service</t>
  </si>
  <si>
    <t>Special Education</t>
  </si>
  <si>
    <t>Teachers</t>
  </si>
  <si>
    <t>100</t>
  </si>
  <si>
    <t>Social Security</t>
  </si>
  <si>
    <t>Retirement</t>
  </si>
  <si>
    <t>Unemployment</t>
  </si>
  <si>
    <t>200-290</t>
  </si>
  <si>
    <t>200</t>
  </si>
  <si>
    <t>Legal Services</t>
  </si>
  <si>
    <t>Accounting/Auditing Services</t>
  </si>
  <si>
    <t>300</t>
  </si>
  <si>
    <t>Purchased Student Transportation Services</t>
  </si>
  <si>
    <t>Travel</t>
  </si>
  <si>
    <t>620-629</t>
  </si>
  <si>
    <t>Equipment/Furnishings</t>
  </si>
  <si>
    <t>Indirect Costs</t>
  </si>
  <si>
    <t>TOTAL EXPENDITURES</t>
  </si>
  <si>
    <t>100-900</t>
  </si>
  <si>
    <t>Medicare</t>
  </si>
  <si>
    <t>Water/Sewerage</t>
  </si>
  <si>
    <t>Interest on Loans/Notes</t>
  </si>
  <si>
    <t>GENERAL FUNDS</t>
  </si>
  <si>
    <t>Principal/Executive Salary</t>
  </si>
  <si>
    <t>Business Official Salary</t>
  </si>
  <si>
    <t>Therapists/Specialists/Counselors</t>
  </si>
  <si>
    <t xml:space="preserve">School Administrators  </t>
  </si>
  <si>
    <t>Clerical/Secretarial Salary</t>
  </si>
  <si>
    <t>Health Insurance Benefits - Current Employees</t>
  </si>
  <si>
    <t>Health Insurance Benefits - Retired Employees</t>
  </si>
  <si>
    <t>Custodial Salaries</t>
  </si>
  <si>
    <t>Management Company Services</t>
  </si>
  <si>
    <t>Repairs &amp; Maintenance Services</t>
  </si>
  <si>
    <t>Food &amp; Commodities</t>
  </si>
  <si>
    <t>600-644</t>
  </si>
  <si>
    <t>Materials and Supplies</t>
  </si>
  <si>
    <t>Earnings on Investments</t>
  </si>
  <si>
    <t>REVENUES FROM LOCAL SOURCES</t>
  </si>
  <si>
    <t>Contributions and Donations</t>
  </si>
  <si>
    <t>(additional function codes may need to be added)</t>
  </si>
  <si>
    <t>TOTAL REVENUES FROM LOCAL SOURCES</t>
  </si>
  <si>
    <t>REVENUE FROM STATE SOURCES</t>
  </si>
  <si>
    <t>Unrestricted Grants-In-Aid</t>
  </si>
  <si>
    <t>State Per Pupil Aid  -  MFP</t>
  </si>
  <si>
    <t>Other Unrestricted Revenues</t>
  </si>
  <si>
    <t>Restricted Grants-In-Aid</t>
  </si>
  <si>
    <t>Education Support Fund (8g)</t>
  </si>
  <si>
    <t>PIP</t>
  </si>
  <si>
    <t>TOTAL REVENUE FROM STATE SOURCES</t>
  </si>
  <si>
    <t>REVENUE FROM FEDERAL SOURCES</t>
  </si>
  <si>
    <t>Unrestricted Grants-In-Aid Direct From the Federal Gov't</t>
  </si>
  <si>
    <t>Restricted Grants-In-Aid Direct From the Federal Gov't</t>
  </si>
  <si>
    <t>Other Restricted Grants - Direct</t>
  </si>
  <si>
    <t>Restricted Grants-In-Aid From Federal Gov't Thru State</t>
  </si>
  <si>
    <t xml:space="preserve">    IDEA - Part B</t>
  </si>
  <si>
    <t>4531</t>
  </si>
  <si>
    <t xml:space="preserve">    IDEA - Preschool</t>
  </si>
  <si>
    <t>4532</t>
  </si>
  <si>
    <t xml:space="preserve">    Other Special Education Programs</t>
  </si>
  <si>
    <t>4535</t>
  </si>
  <si>
    <t>4541</t>
  </si>
  <si>
    <t xml:space="preserve">    Title I, Part C - Migrant</t>
  </si>
  <si>
    <t>4542</t>
  </si>
  <si>
    <t xml:space="preserve">    Title IV - Safe and Drug Free Schools / Comm.</t>
  </si>
  <si>
    <t>4544</t>
  </si>
  <si>
    <t xml:space="preserve">    Title II - Improving Teacher Quality</t>
  </si>
  <si>
    <t>4545</t>
  </si>
  <si>
    <t>4590</t>
  </si>
  <si>
    <t xml:space="preserve"> TOTAL REVENUE FROM FEDERAL SOURCES</t>
  </si>
  <si>
    <r>
      <t xml:space="preserve">Other Sources of Funds </t>
    </r>
    <r>
      <rPr>
        <i/>
        <sz val="9"/>
        <rFont val="Arial"/>
        <family val="2"/>
      </rPr>
      <t>(Provide Detail)</t>
    </r>
  </si>
  <si>
    <t>(additional source codes may need to be added)</t>
  </si>
  <si>
    <t>% of 
Total 
Budget</t>
  </si>
  <si>
    <t>Utilities (natural gas, electricity, coal, gasoline)</t>
  </si>
  <si>
    <t>Books and Periodicals (including textbooks/workbooks)</t>
  </si>
  <si>
    <t>Buildings Acquisitions (existing structures)</t>
  </si>
  <si>
    <t>TOTAL REVENUES &amp; OTHER SOURCES OF FUNDS</t>
  </si>
  <si>
    <t>SALARIES (Object 100 series)</t>
  </si>
  <si>
    <t>TOTAL SALARIES</t>
  </si>
  <si>
    <t>EMPLOYEE BENEFITS (Object 200 series)</t>
  </si>
  <si>
    <t>TOTAL EMPLOYEE BENEFITS</t>
  </si>
  <si>
    <t>TOTAL PURCHASED PROF. &amp; TECHNICAL SVCS.</t>
  </si>
  <si>
    <t>PURCHASED PROF. &amp; TECH. SVCS (Object 300 Series)</t>
  </si>
  <si>
    <t>PURCHASED PROPERTY SERVICES (Object 400 Series)</t>
  </si>
  <si>
    <t>TOTAL PURCHASED PROPERTY SERVICES</t>
  </si>
  <si>
    <t>SUPPLIES (Object 600 series)</t>
  </si>
  <si>
    <t>TOTAL SUPPLIES</t>
  </si>
  <si>
    <t>PROPERTY (Object 700 series)</t>
  </si>
  <si>
    <t>TOTAL PROPERTY</t>
  </si>
  <si>
    <t>OTHER OBJECTS (Object 800 series)</t>
  </si>
  <si>
    <t>TOTAL OTHER OBJECTS</t>
  </si>
  <si>
    <t>TOTAL OTHER USES OF FUNDS</t>
  </si>
  <si>
    <t>OTHER USES OF FUNDS (Object 900 Series)</t>
  </si>
  <si>
    <t>Revenues</t>
  </si>
  <si>
    <t>Expenditures</t>
  </si>
  <si>
    <t>Actual
% of 
Budgeted 
Object</t>
  </si>
  <si>
    <t>L.A.U.G.H.
Source/
Object
Code</t>
  </si>
  <si>
    <t>Includes Special Fund Federal,
Federal NCLB and 
Other Special Funds</t>
  </si>
  <si>
    <t>Other Restricted Revenues (list grant &amp; amount below)</t>
  </si>
  <si>
    <t>100-150</t>
  </si>
  <si>
    <t>300-340</t>
  </si>
  <si>
    <t>Equipment &amp; Vehicle Rent/Lease</t>
  </si>
  <si>
    <t>400-490</t>
  </si>
  <si>
    <t>OTHER PURCHASED SERVICES (Object 500 Series)</t>
  </si>
  <si>
    <t>630-632</t>
  </si>
  <si>
    <t>1000-1999</t>
  </si>
  <si>
    <t>Comments/Assumptions</t>
  </si>
  <si>
    <t>Insurance (property, liability, fleet, errors/omissions, etc.)</t>
  </si>
  <si>
    <t>TOTAL OTHER PURCHASED SERVICES</t>
  </si>
  <si>
    <t xml:space="preserve">Excess (Deficiency) of Revenues over Expenditures  </t>
  </si>
  <si>
    <t xml:space="preserve">Fund Balance From Prior Year  </t>
  </si>
  <si>
    <t xml:space="preserve">Fund Balance at End of Year  </t>
  </si>
  <si>
    <t>Food Service (Income from meals)</t>
  </si>
  <si>
    <t>E-Rate Reimbursements</t>
  </si>
  <si>
    <t>Impact Aid Fund - Direct from Federal Gov't</t>
  </si>
  <si>
    <t>ROTC - Direct from Federal Gov't</t>
  </si>
  <si>
    <t>Career &amp; Technical Education</t>
  </si>
  <si>
    <t xml:space="preserve">    FEMA - Disaster Relief</t>
  </si>
  <si>
    <t>Building and Land Rent/Lease</t>
  </si>
  <si>
    <t>Food Service Management</t>
  </si>
  <si>
    <t>230-290</t>
  </si>
  <si>
    <t xml:space="preserve">     LA-4</t>
  </si>
  <si>
    <t xml:space="preserve">     HEAP (Hurricane Educator Assistance Program)</t>
  </si>
  <si>
    <r>
      <t xml:space="preserve">Other Restricted Grants thru State </t>
    </r>
    <r>
      <rPr>
        <sz val="10"/>
        <rFont val="Arial"/>
        <family val="2"/>
      </rPr>
      <t>(list grant &amp; amount below)</t>
    </r>
  </si>
  <si>
    <t xml:space="preserve">     Charter School Grant (PCSP Funds)</t>
  </si>
  <si>
    <t>Other (exclude amounts on lines 2 - 6)</t>
  </si>
  <si>
    <t>1500-1542</t>
  </si>
  <si>
    <t>1600-1620</t>
  </si>
  <si>
    <t>Other Unrestricted Grants - Direct</t>
  </si>
  <si>
    <t>Land Purchases and Land Improvements</t>
  </si>
  <si>
    <t>730-739</t>
  </si>
  <si>
    <t>700-740</t>
  </si>
  <si>
    <t>800 - 890</t>
  </si>
  <si>
    <t>900-932</t>
  </si>
  <si>
    <t>Loan Repayment (principal only)</t>
  </si>
  <si>
    <t>Administrative Fees (State &amp; Local)</t>
  </si>
  <si>
    <r>
      <t>Other School Administrators</t>
    </r>
    <r>
      <rPr>
        <sz val="10"/>
        <rFont val="Arial"/>
        <family val="2"/>
      </rPr>
      <t xml:space="preserve"> (exclude amounts on line 70-71)</t>
    </r>
  </si>
  <si>
    <t>Other (excludes amounts on lines 69-76)</t>
  </si>
  <si>
    <t>Other (excludes amounts on lines 80-85)</t>
  </si>
  <si>
    <r>
      <t>Other Purchased Prof/Tech Svcs</t>
    </r>
    <r>
      <rPr>
        <sz val="9"/>
        <rFont val="Arial"/>
        <family val="2"/>
      </rPr>
      <t xml:space="preserve"> (excludes amounts on lines 89-91)</t>
    </r>
  </si>
  <si>
    <t>Other (excludes amounts on lines 95-98)</t>
  </si>
  <si>
    <t>Other (excludes amounts on lines 102-105)</t>
  </si>
  <si>
    <t>Other Supplies (excludes amounts on lines 109-112)</t>
  </si>
  <si>
    <t>Other (Excludes amounts on lines 116-118)</t>
  </si>
  <si>
    <t>Other (excludes amounts on lines 122-123)</t>
  </si>
  <si>
    <t>Other (Excludes amounts on lines 127-128)</t>
  </si>
  <si>
    <t>SPECIAL FUNDS</t>
  </si>
  <si>
    <t>CHARTER SCHOOL ANNUAL OPERATING BUDGET</t>
  </si>
  <si>
    <t>Local "MFP" Per Pupil Aid (Local Revenue transfers)</t>
  </si>
  <si>
    <t>640-644</t>
  </si>
  <si>
    <t xml:space="preserve">    Extended School Year Services</t>
  </si>
  <si>
    <t>CHARTER SCHOOL PERFORMANCE COMPACT FINANCE INDICATORS</t>
  </si>
  <si>
    <t>Indicator</t>
  </si>
  <si>
    <t>TOTAL FUNDS</t>
  </si>
  <si>
    <t>FUND BALANCE RATIO</t>
  </si>
  <si>
    <t>End of Year Fund Balance</t>
  </si>
  <si>
    <t>Total Annual Expenditures</t>
  </si>
  <si>
    <t>DEBT-TO-ASSET RATIO</t>
  </si>
  <si>
    <r>
      <t xml:space="preserve">Louisiana laws contain requirements for school district accounting.  By law, the </t>
    </r>
    <r>
      <rPr>
        <b/>
        <sz val="11"/>
        <rFont val="Arial"/>
        <family val="2"/>
      </rPr>
      <t>L</t>
    </r>
    <r>
      <rPr>
        <sz val="11"/>
        <rFont val="Arial"/>
        <family val="2"/>
      </rPr>
      <t>ouisiana</t>
    </r>
    <r>
      <rPr>
        <b/>
        <sz val="11"/>
        <rFont val="Arial"/>
        <family val="2"/>
      </rPr>
      <t xml:space="preserve"> A</t>
    </r>
    <r>
      <rPr>
        <sz val="11"/>
        <rFont val="Arial"/>
        <family val="2"/>
      </rPr>
      <t xml:space="preserve">ccounting and </t>
    </r>
    <r>
      <rPr>
        <b/>
        <sz val="11"/>
        <rFont val="Arial"/>
        <family val="2"/>
      </rPr>
      <t>U</t>
    </r>
    <r>
      <rPr>
        <sz val="11"/>
        <rFont val="Arial"/>
        <family val="2"/>
      </rPr>
      <t xml:space="preserve">niform </t>
    </r>
    <r>
      <rPr>
        <b/>
        <sz val="11"/>
        <rFont val="Arial"/>
        <family val="2"/>
      </rPr>
      <t>G</t>
    </r>
    <r>
      <rPr>
        <sz val="11"/>
        <rFont val="Arial"/>
        <family val="2"/>
      </rPr>
      <t xml:space="preserve">overnmental </t>
    </r>
    <r>
      <rPr>
        <b/>
        <sz val="11"/>
        <rFont val="Arial"/>
        <family val="2"/>
      </rPr>
      <t>H</t>
    </r>
    <r>
      <rPr>
        <sz val="11"/>
        <rFont val="Arial"/>
        <family val="2"/>
      </rPr>
      <t>andbook (LAUGH) (Bulletin 1929) is the required accounting manual for local educational agencies.  
This document can be accessed on the Department of Education's website at www.louisianaschools.net.  (link:  http://www.louisianabelieves.com/docs/school-choice/guide---laugh-guide.pdf?sfvrsn=2 )</t>
    </r>
  </si>
  <si>
    <t xml:space="preserve">    Title I </t>
  </si>
  <si>
    <t xml:space="preserve">    Title I - School Improvement</t>
  </si>
  <si>
    <t>Medicaid Reimbursement</t>
  </si>
  <si>
    <t>FANNIE C WILLIAMS CHARTER SCHOOL</t>
  </si>
  <si>
    <t xml:space="preserve">Instructions Coaches and Dean of Students </t>
  </si>
  <si>
    <t xml:space="preserve">Teachers </t>
  </si>
  <si>
    <t xml:space="preserve">Social Worker, Nurse, Counselor Speech </t>
  </si>
  <si>
    <t>Principal/CEO</t>
  </si>
  <si>
    <t>DSS</t>
  </si>
  <si>
    <t>Dental/MED/Vision</t>
  </si>
  <si>
    <t>Homeless Student Fees, Field Trip etc/Strong Start Technology Supplies</t>
  </si>
  <si>
    <t>Supplies for Title IV Funds/Custodial Supplies/ Cleaning Supplies</t>
  </si>
  <si>
    <t xml:space="preserve">Custodial </t>
  </si>
  <si>
    <t xml:space="preserve">School Food Service-Projected base </t>
  </si>
  <si>
    <t>CMC /Synergy, All building Repairs</t>
  </si>
  <si>
    <t>Investment Interest-Money Market Acct Projected</t>
  </si>
  <si>
    <t>Business Manager/SFS Admin</t>
  </si>
  <si>
    <t>Disposal Service / Security Services</t>
  </si>
  <si>
    <t xml:space="preserve">Entergy </t>
  </si>
  <si>
    <t>Audit Process</t>
  </si>
  <si>
    <t>IDEA Contract CEIS/OT,PT, Speech Eval, APE, Sun Center/PD for Staff Title II</t>
  </si>
  <si>
    <t>Resdesign 1003a</t>
  </si>
  <si>
    <t xml:space="preserve">    Other ESSA Programs Title IV</t>
  </si>
  <si>
    <t>ESSA Grant</t>
  </si>
  <si>
    <t>Title III</t>
  </si>
  <si>
    <t>Cox,Verizon, Hunt Tele communication, Edgear</t>
  </si>
  <si>
    <t>Legal Service for School Polices</t>
  </si>
  <si>
    <t xml:space="preserve"> SUI/  Staff Life Insurance and Workers Compensation</t>
  </si>
  <si>
    <t xml:space="preserve"> Para Subs Data Manager, Food Service Manager, Afterschool</t>
  </si>
  <si>
    <t>Property, Liability Insurance</t>
  </si>
  <si>
    <t>Food for Staff Events</t>
  </si>
  <si>
    <t>Total Liabilities as of 6/30/23</t>
  </si>
  <si>
    <t>Total Assets as of 6/30/23</t>
  </si>
  <si>
    <t>Tables, Alarm System, Cover for Play area</t>
  </si>
  <si>
    <t>FISCAL YEAR 2024-25</t>
  </si>
  <si>
    <t>Projected of allocation for 24-25</t>
  </si>
  <si>
    <t>Actual
2024-25</t>
  </si>
  <si>
    <t>School Pay Raise</t>
  </si>
  <si>
    <t>FISCAL YEAR 2025-26</t>
  </si>
  <si>
    <t>Actual
Yr-to-Date
2024-25</t>
  </si>
  <si>
    <t>Annual 
Budget 
2025-26</t>
  </si>
  <si>
    <t>Budgeted
2025-26 
Total Funds</t>
  </si>
  <si>
    <t>Projected of allocation for 25-26</t>
  </si>
  <si>
    <t>School Food Service Projected 25-26</t>
  </si>
  <si>
    <t>HD Tutoring</t>
  </si>
  <si>
    <t>ESSER III Funding</t>
  </si>
  <si>
    <t>Projected of allocation for 25-26-IDEA Set Aside</t>
  </si>
  <si>
    <t>460@8034.10Local Base Amount Include 2% admin Fee</t>
  </si>
  <si>
    <t>Student Count Budget is Based on: 460</t>
  </si>
  <si>
    <t>460@4521.57 State Base,DFF, HB393, Pay Raises , Def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</si>
</sst>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&quot;$&quot;#,##0.00"/>
  </numFmts>
  <fonts count="21">
    <font>
      <sz val="12"/>
      <name val="Arial MT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4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u/>
      <sz val="12"/>
      <color theme="10"/>
      <name val="Arial MT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8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</fills>
  <borders count="119">
    <border>
      <left/>
      <right/>
      <top/>
      <bottom/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double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double">
        <color indexed="8"/>
      </left>
      <right style="double">
        <color indexed="22"/>
      </right>
      <top/>
      <bottom style="hair">
        <color indexed="64"/>
      </bottom>
      <diagonal/>
    </border>
    <border>
      <left style="double">
        <color indexed="8"/>
      </left>
      <right/>
      <top style="hair">
        <color indexed="64"/>
      </top>
      <bottom/>
      <diagonal/>
    </border>
    <border>
      <left style="double">
        <color indexed="8"/>
      </left>
      <right style="double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55"/>
      </right>
      <top style="thin">
        <color indexed="8"/>
      </top>
      <bottom style="thin">
        <color indexed="55"/>
      </bottom>
      <diagonal/>
    </border>
    <border>
      <left style="thin">
        <color indexed="55"/>
      </left>
      <right style="thin">
        <color indexed="8"/>
      </right>
      <top style="thin">
        <color indexed="8"/>
      </top>
      <bottom style="thin">
        <color indexed="55"/>
      </bottom>
      <diagonal/>
    </border>
    <border>
      <left style="thin">
        <color indexed="8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8"/>
      </right>
      <top style="thin">
        <color indexed="55"/>
      </top>
      <bottom style="thin">
        <color indexed="55"/>
      </bottom>
      <diagonal/>
    </border>
    <border>
      <left style="thin">
        <color indexed="8"/>
      </left>
      <right style="thin">
        <color indexed="55"/>
      </right>
      <top style="thin">
        <color indexed="55"/>
      </top>
      <bottom style="thin">
        <color indexed="8"/>
      </bottom>
      <diagonal/>
    </border>
    <border>
      <left style="thin">
        <color indexed="55"/>
      </left>
      <right style="thin">
        <color indexed="8"/>
      </right>
      <top style="thin">
        <color indexed="55"/>
      </top>
      <bottom style="thin">
        <color indexed="8"/>
      </bottom>
      <diagonal/>
    </border>
    <border>
      <left/>
      <right style="double">
        <color indexed="8"/>
      </right>
      <top style="thin">
        <color indexed="22"/>
      </top>
      <bottom style="thin">
        <color indexed="22"/>
      </bottom>
      <diagonal/>
    </border>
    <border>
      <left style="double">
        <color indexed="23"/>
      </left>
      <right style="double">
        <color indexed="23"/>
      </right>
      <top style="thin">
        <color indexed="22"/>
      </top>
      <bottom style="thin">
        <color indexed="22"/>
      </bottom>
      <diagonal/>
    </border>
    <border>
      <left style="double">
        <color indexed="23"/>
      </left>
      <right style="double">
        <color indexed="23"/>
      </right>
      <top style="thin">
        <color indexed="55"/>
      </top>
      <bottom style="thin">
        <color indexed="55"/>
      </bottom>
      <diagonal/>
    </border>
    <border>
      <left style="double">
        <color indexed="23"/>
      </left>
      <right style="double">
        <color indexed="23"/>
      </right>
      <top style="thin">
        <color indexed="55"/>
      </top>
      <bottom style="thin">
        <color indexed="22"/>
      </bottom>
      <diagonal/>
    </border>
    <border>
      <left/>
      <right style="double">
        <color indexed="23"/>
      </right>
      <top style="thin">
        <color indexed="22"/>
      </top>
      <bottom style="thin">
        <color indexed="22"/>
      </bottom>
      <diagonal/>
    </border>
    <border>
      <left style="double">
        <color indexed="23"/>
      </left>
      <right style="thin">
        <color indexed="23"/>
      </right>
      <top style="thin">
        <color indexed="22"/>
      </top>
      <bottom style="thin">
        <color indexed="22"/>
      </bottom>
      <diagonal/>
    </border>
    <border>
      <left/>
      <right style="double">
        <color indexed="23"/>
      </right>
      <top style="thin">
        <color indexed="22"/>
      </top>
      <bottom style="thin">
        <color indexed="55"/>
      </bottom>
      <diagonal/>
    </border>
    <border>
      <left style="double">
        <color indexed="23"/>
      </left>
      <right style="thin">
        <color indexed="23"/>
      </right>
      <top style="thin">
        <color indexed="22"/>
      </top>
      <bottom style="thin">
        <color indexed="55"/>
      </bottom>
      <diagonal/>
    </border>
    <border>
      <left style="double">
        <color indexed="23"/>
      </left>
      <right/>
      <top style="thin">
        <color indexed="22"/>
      </top>
      <bottom style="thin">
        <color indexed="22"/>
      </bottom>
      <diagonal/>
    </border>
    <border>
      <left style="thin">
        <color indexed="23"/>
      </left>
      <right style="double">
        <color indexed="23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double">
        <color indexed="23"/>
      </right>
      <top/>
      <bottom style="thin">
        <color indexed="22"/>
      </bottom>
      <diagonal/>
    </border>
    <border>
      <left style="double">
        <color indexed="64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double">
        <color indexed="23"/>
      </left>
      <right style="double">
        <color indexed="23"/>
      </right>
      <top/>
      <bottom style="thin">
        <color indexed="22"/>
      </bottom>
      <diagonal/>
    </border>
    <border>
      <left style="double">
        <color indexed="23"/>
      </left>
      <right style="thin">
        <color indexed="23"/>
      </right>
      <top/>
      <bottom style="thin">
        <color indexed="22"/>
      </bottom>
      <diagonal/>
    </border>
    <border>
      <left/>
      <right style="double">
        <color indexed="23"/>
      </right>
      <top/>
      <bottom style="thin">
        <color indexed="22"/>
      </bottom>
      <diagonal/>
    </border>
    <border>
      <left style="double">
        <color indexed="23"/>
      </left>
      <right style="double">
        <color indexed="23"/>
      </right>
      <top/>
      <bottom style="thin">
        <color indexed="55"/>
      </bottom>
      <diagonal/>
    </border>
    <border>
      <left/>
      <right style="double">
        <color indexed="8"/>
      </right>
      <top/>
      <bottom style="thin">
        <color indexed="22"/>
      </bottom>
      <diagonal/>
    </border>
    <border>
      <left style="double">
        <color indexed="23"/>
      </left>
      <right/>
      <top/>
      <bottom style="thin">
        <color indexed="22"/>
      </bottom>
      <diagonal/>
    </border>
    <border>
      <left style="double">
        <color indexed="64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 style="double">
        <color indexed="23"/>
      </left>
      <right style="double">
        <color indexed="23"/>
      </right>
      <top style="thin">
        <color indexed="22"/>
      </top>
      <bottom/>
      <diagonal/>
    </border>
    <border>
      <left style="double">
        <color indexed="23"/>
      </left>
      <right style="thin">
        <color indexed="23"/>
      </right>
      <top style="thin">
        <color indexed="22"/>
      </top>
      <bottom/>
      <diagonal/>
    </border>
    <border>
      <left/>
      <right style="double">
        <color indexed="23"/>
      </right>
      <top style="thin">
        <color indexed="22"/>
      </top>
      <bottom/>
      <diagonal/>
    </border>
    <border>
      <left/>
      <right style="double">
        <color indexed="8"/>
      </right>
      <top style="thin">
        <color indexed="22"/>
      </top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double">
        <color indexed="8"/>
      </right>
      <top style="thin">
        <color indexed="55"/>
      </top>
      <bottom style="thin">
        <color indexed="55"/>
      </bottom>
      <diagonal/>
    </border>
    <border>
      <left/>
      <right style="double">
        <color indexed="23"/>
      </right>
      <top style="thin">
        <color indexed="55"/>
      </top>
      <bottom style="thin">
        <color indexed="22"/>
      </bottom>
      <diagonal/>
    </border>
    <border>
      <left/>
      <right style="double">
        <color indexed="23"/>
      </right>
      <top style="thin">
        <color indexed="55"/>
      </top>
      <bottom style="thin">
        <color indexed="55"/>
      </bottom>
      <diagonal/>
    </border>
    <border>
      <left style="double">
        <color indexed="23"/>
      </left>
      <right style="thin">
        <color indexed="23"/>
      </right>
      <top style="thin">
        <color indexed="55"/>
      </top>
      <bottom style="thin">
        <color indexed="22"/>
      </bottom>
      <diagonal/>
    </border>
    <border>
      <left style="double">
        <color indexed="23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22"/>
      </top>
      <bottom style="double">
        <color indexed="8"/>
      </bottom>
      <diagonal/>
    </border>
    <border>
      <left style="double">
        <color indexed="23"/>
      </left>
      <right style="double">
        <color indexed="23"/>
      </right>
      <top style="thin">
        <color indexed="22"/>
      </top>
      <bottom style="double">
        <color indexed="8"/>
      </bottom>
      <diagonal/>
    </border>
    <border>
      <left style="double">
        <color indexed="23"/>
      </left>
      <right/>
      <top style="thin">
        <color indexed="22"/>
      </top>
      <bottom style="double">
        <color indexed="8"/>
      </bottom>
      <diagonal/>
    </border>
    <border>
      <left style="thin">
        <color indexed="23"/>
      </left>
      <right style="double">
        <color indexed="23"/>
      </right>
      <top style="thin">
        <color indexed="22"/>
      </top>
      <bottom style="double">
        <color indexed="8"/>
      </bottom>
      <diagonal/>
    </border>
    <border>
      <left/>
      <right style="double">
        <color indexed="8"/>
      </right>
      <top style="thin">
        <color indexed="22"/>
      </top>
      <bottom style="double">
        <color indexed="8"/>
      </bottom>
      <diagonal/>
    </border>
    <border>
      <left style="double">
        <color indexed="8"/>
      </left>
      <right style="double">
        <color indexed="22"/>
      </right>
      <top style="thin">
        <color indexed="22"/>
      </top>
      <bottom style="double">
        <color indexed="8"/>
      </bottom>
      <diagonal/>
    </border>
    <border>
      <left style="double">
        <color indexed="8"/>
      </left>
      <right/>
      <top style="hair">
        <color indexed="64"/>
      </top>
      <bottom style="double">
        <color indexed="8"/>
      </bottom>
      <diagonal/>
    </border>
    <border>
      <left style="double">
        <color indexed="64"/>
      </left>
      <right/>
      <top style="thin">
        <color indexed="22"/>
      </top>
      <bottom style="double">
        <color indexed="8"/>
      </bottom>
      <diagonal/>
    </border>
    <border>
      <left style="double">
        <color indexed="23"/>
      </left>
      <right style="thin">
        <color indexed="23"/>
      </right>
      <top style="thin">
        <color indexed="22"/>
      </top>
      <bottom style="double">
        <color indexed="8"/>
      </bottom>
      <diagonal/>
    </border>
    <border>
      <left/>
      <right style="double">
        <color indexed="23"/>
      </right>
      <top style="thin">
        <color indexed="22"/>
      </top>
      <bottom style="double">
        <color indexed="8"/>
      </bottom>
      <diagonal/>
    </border>
    <border>
      <left style="double">
        <color indexed="23"/>
      </left>
      <right style="double">
        <color indexed="23"/>
      </right>
      <top/>
      <bottom/>
      <diagonal/>
    </border>
    <border>
      <left/>
      <right style="double">
        <color indexed="8"/>
      </right>
      <top/>
      <bottom/>
      <diagonal/>
    </border>
    <border>
      <left style="double">
        <color indexed="8"/>
      </left>
      <right style="double">
        <color indexed="23"/>
      </right>
      <top style="hair">
        <color indexed="64"/>
      </top>
      <bottom/>
      <diagonal/>
    </border>
    <border>
      <left style="double">
        <color indexed="8"/>
      </left>
      <right style="double">
        <color indexed="23"/>
      </right>
      <top style="thin">
        <color indexed="8"/>
      </top>
      <bottom style="thin">
        <color indexed="22"/>
      </bottom>
      <diagonal/>
    </border>
    <border>
      <left style="double">
        <color indexed="8"/>
      </left>
      <right style="double">
        <color indexed="23"/>
      </right>
      <top style="thin">
        <color indexed="22"/>
      </top>
      <bottom style="thin">
        <color indexed="22"/>
      </bottom>
      <diagonal/>
    </border>
    <border>
      <left/>
      <right style="double">
        <color indexed="23"/>
      </right>
      <top/>
      <bottom/>
      <diagonal/>
    </border>
    <border>
      <left style="double">
        <color indexed="23"/>
      </left>
      <right style="thin">
        <color indexed="23"/>
      </right>
      <top style="double">
        <color indexed="8"/>
      </top>
      <bottom style="thin">
        <color indexed="55"/>
      </bottom>
      <diagonal/>
    </border>
    <border>
      <left/>
      <right style="double">
        <color indexed="23"/>
      </right>
      <top/>
      <bottom style="thin">
        <color indexed="55"/>
      </bottom>
      <diagonal/>
    </border>
    <border>
      <left style="double">
        <color indexed="23"/>
      </left>
      <right style="thin">
        <color indexed="55"/>
      </right>
      <top style="double">
        <color indexed="8"/>
      </top>
      <bottom/>
      <diagonal/>
    </border>
    <border>
      <left style="double">
        <color indexed="23"/>
      </left>
      <right style="thin">
        <color indexed="55"/>
      </right>
      <top/>
      <bottom style="thin">
        <color indexed="22"/>
      </bottom>
      <diagonal/>
    </border>
    <border>
      <left style="double">
        <color indexed="23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 style="double">
        <color indexed="23"/>
      </left>
      <right style="thin">
        <color indexed="55"/>
      </right>
      <top style="thin">
        <color indexed="22"/>
      </top>
      <bottom/>
      <diagonal/>
    </border>
    <border>
      <left style="double">
        <color indexed="23"/>
      </left>
      <right style="thin">
        <color indexed="55"/>
      </right>
      <top style="thin">
        <color indexed="22"/>
      </top>
      <bottom style="double">
        <color indexed="8"/>
      </bottom>
      <diagonal/>
    </border>
    <border>
      <left style="double">
        <color indexed="23"/>
      </left>
      <right style="double">
        <color indexed="23"/>
      </right>
      <top style="thin">
        <color indexed="22"/>
      </top>
      <bottom style="thin">
        <color indexed="23"/>
      </bottom>
      <diagonal/>
    </border>
    <border>
      <left style="double">
        <color indexed="23"/>
      </left>
      <right style="thin">
        <color indexed="23"/>
      </right>
      <top style="thin">
        <color indexed="22"/>
      </top>
      <bottom style="thin">
        <color indexed="23"/>
      </bottom>
      <diagonal/>
    </border>
    <border>
      <left/>
      <right style="double">
        <color indexed="23"/>
      </right>
      <top style="thin">
        <color indexed="22"/>
      </top>
      <bottom style="thin">
        <color indexed="23"/>
      </bottom>
      <diagonal/>
    </border>
    <border>
      <left/>
      <right style="double">
        <color indexed="8"/>
      </right>
      <top style="thin">
        <color indexed="22"/>
      </top>
      <bottom style="thin">
        <color indexed="23"/>
      </bottom>
      <diagonal/>
    </border>
    <border>
      <left style="double">
        <color indexed="8"/>
      </left>
      <right style="double">
        <color indexed="22"/>
      </right>
      <top/>
      <bottom style="thin">
        <color indexed="22"/>
      </bottom>
      <diagonal/>
    </border>
    <border>
      <left style="double">
        <color indexed="23"/>
      </left>
      <right/>
      <top/>
      <bottom/>
      <diagonal/>
    </border>
    <border>
      <left style="thin">
        <color indexed="23"/>
      </left>
      <right style="double">
        <color indexed="23"/>
      </right>
      <top/>
      <bottom/>
      <diagonal/>
    </border>
    <border>
      <left style="double">
        <color indexed="23"/>
      </left>
      <right style="thin">
        <color indexed="23"/>
      </right>
      <top/>
      <bottom style="thin">
        <color indexed="55"/>
      </bottom>
      <diagonal/>
    </border>
    <border>
      <left style="double">
        <color indexed="8"/>
      </left>
      <right style="double">
        <color indexed="23"/>
      </right>
      <top/>
      <bottom style="thin">
        <color indexed="22"/>
      </bottom>
      <diagonal/>
    </border>
    <border>
      <left style="thin">
        <color indexed="8"/>
      </left>
      <right style="hair">
        <color indexed="22"/>
      </right>
      <top style="thin">
        <color indexed="8"/>
      </top>
      <bottom style="double">
        <color indexed="22"/>
      </bottom>
      <diagonal/>
    </border>
    <border>
      <left style="hair">
        <color indexed="22"/>
      </left>
      <right style="hair">
        <color indexed="22"/>
      </right>
      <top style="thin">
        <color indexed="8"/>
      </top>
      <bottom style="double">
        <color indexed="22"/>
      </bottom>
      <diagonal/>
    </border>
    <border>
      <left style="hair">
        <color indexed="22"/>
      </left>
      <right/>
      <top style="thin">
        <color indexed="8"/>
      </top>
      <bottom style="double">
        <color indexed="22"/>
      </bottom>
      <diagonal/>
    </border>
    <border>
      <left style="thin">
        <color indexed="8"/>
      </left>
      <right style="hair">
        <color indexed="22"/>
      </right>
      <top style="double">
        <color indexed="22"/>
      </top>
      <bottom style="thin">
        <color indexed="8"/>
      </bottom>
      <diagonal/>
    </border>
    <border>
      <left style="hair">
        <color indexed="22"/>
      </left>
      <right style="hair">
        <color indexed="22"/>
      </right>
      <top style="double">
        <color indexed="22"/>
      </top>
      <bottom style="thin">
        <color indexed="8"/>
      </bottom>
      <diagonal/>
    </border>
    <border>
      <left style="hair">
        <color indexed="22"/>
      </left>
      <right/>
      <top style="double">
        <color indexed="22"/>
      </top>
      <bottom style="thin">
        <color indexed="8"/>
      </bottom>
      <diagonal/>
    </border>
    <border>
      <left style="hair">
        <color indexed="22"/>
      </left>
      <right style="hair">
        <color indexed="22"/>
      </right>
      <top style="double">
        <color indexed="22"/>
      </top>
      <bottom style="double">
        <color indexed="22"/>
      </bottom>
      <diagonal/>
    </border>
    <border>
      <left style="thin">
        <color indexed="8"/>
      </left>
      <right style="hair">
        <color indexed="22"/>
      </right>
      <top style="double">
        <color indexed="22"/>
      </top>
      <bottom style="double">
        <color indexed="22"/>
      </bottom>
      <diagonal/>
    </border>
    <border>
      <left style="hair">
        <color indexed="22"/>
      </left>
      <right/>
      <top style="double">
        <color indexed="22"/>
      </top>
      <bottom style="double">
        <color indexed="22"/>
      </bottom>
      <diagonal/>
    </border>
    <border>
      <left style="double">
        <color indexed="23"/>
      </left>
      <right style="thin">
        <color indexed="23"/>
      </right>
      <top/>
      <bottom/>
      <diagonal/>
    </border>
    <border>
      <left style="double">
        <color indexed="23"/>
      </left>
      <right style="thin">
        <color indexed="55"/>
      </right>
      <top/>
      <bottom/>
      <diagonal/>
    </border>
    <border>
      <left/>
      <right style="double">
        <color indexed="8"/>
      </right>
      <top style="thin">
        <color indexed="8"/>
      </top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/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double">
        <color indexed="22"/>
      </left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/>
      <diagonal/>
    </border>
    <border>
      <left style="double">
        <color theme="1"/>
      </left>
      <right style="double">
        <color theme="1"/>
      </right>
      <top/>
      <bottom style="double">
        <color theme="1"/>
      </bottom>
      <diagonal/>
    </border>
    <border>
      <left style="double">
        <color indexed="22"/>
      </left>
      <right/>
      <top style="double">
        <color indexed="8"/>
      </top>
      <bottom style="thin">
        <color indexed="55"/>
      </bottom>
      <diagonal/>
    </border>
    <border>
      <left/>
      <right/>
      <top style="double">
        <color indexed="8"/>
      </top>
      <bottom style="thin">
        <color indexed="55"/>
      </bottom>
      <diagonal/>
    </border>
    <border>
      <left/>
      <right style="double">
        <color indexed="23"/>
      </right>
      <top style="double">
        <color indexed="8"/>
      </top>
      <bottom style="thin">
        <color indexed="55"/>
      </bottom>
      <diagonal/>
    </border>
    <border>
      <left style="double">
        <color indexed="55"/>
      </left>
      <right/>
      <top style="thin">
        <color indexed="55"/>
      </top>
      <bottom style="thin">
        <color indexed="55"/>
      </bottom>
      <diagonal/>
    </border>
    <border>
      <left style="double">
        <color indexed="55"/>
      </left>
      <right/>
      <top style="thin">
        <color indexed="55"/>
      </top>
      <bottom/>
      <diagonal/>
    </border>
    <border>
      <left/>
      <right/>
      <top style="thin">
        <color indexed="55"/>
      </top>
      <bottom style="thin">
        <color indexed="22"/>
      </bottom>
      <diagonal/>
    </border>
    <border>
      <left style="double">
        <color indexed="64"/>
      </left>
      <right/>
      <top style="thin">
        <color indexed="64"/>
      </top>
      <bottom style="thin">
        <color indexed="22"/>
      </bottom>
      <diagonal/>
    </border>
    <border>
      <left style="double">
        <color auto="1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double">
        <color indexed="23"/>
      </right>
      <top style="thin">
        <color indexed="22"/>
      </top>
      <bottom style="thin">
        <color auto="1"/>
      </bottom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33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Continuous"/>
    </xf>
    <xf numFmtId="0" fontId="7" fillId="0" borderId="0" xfId="0" quotePrefix="1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0" xfId="0" applyFont="1"/>
    <xf numFmtId="0" fontId="12" fillId="0" borderId="0" xfId="0" applyFont="1"/>
    <xf numFmtId="0" fontId="8" fillId="0" borderId="0" xfId="0" applyFont="1" applyAlignment="1">
      <alignment horizontal="left"/>
    </xf>
    <xf numFmtId="164" fontId="8" fillId="0" borderId="0" xfId="2" applyNumberFormat="1" applyFont="1" applyFill="1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center"/>
    </xf>
    <xf numFmtId="0" fontId="17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42" fontId="9" fillId="0" borderId="0" xfId="0" quotePrefix="1" applyNumberFormat="1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0" quotePrefix="1" applyFont="1" applyAlignment="1">
      <alignment horizontal="right" vertical="center"/>
    </xf>
    <xf numFmtId="6" fontId="9" fillId="0" borderId="0" xfId="0" applyNumberFormat="1" applyFont="1" applyAlignment="1">
      <alignment vertical="center"/>
    </xf>
    <xf numFmtId="0" fontId="10" fillId="0" borderId="0" xfId="0" applyFont="1" applyAlignment="1">
      <alignment horizontal="center" vertical="center"/>
    </xf>
    <xf numFmtId="6" fontId="9" fillId="0" borderId="0" xfId="0" quotePrefix="1" applyNumberFormat="1" applyFont="1" applyAlignment="1">
      <alignment horizontal="right" vertical="center"/>
    </xf>
    <xf numFmtId="0" fontId="9" fillId="0" borderId="3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quotePrefix="1" applyFont="1" applyAlignment="1">
      <alignment horizontal="right" vertical="center"/>
    </xf>
    <xf numFmtId="6" fontId="8" fillId="0" borderId="0" xfId="0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44" fontId="7" fillId="0" borderId="0" xfId="1" applyFont="1" applyFill="1" applyBorder="1"/>
    <xf numFmtId="5" fontId="8" fillId="0" borderId="0" xfId="0" applyNumberFormat="1" applyFont="1" applyAlignment="1">
      <alignment vertical="center"/>
    </xf>
    <xf numFmtId="0" fontId="7" fillId="0" borderId="4" xfId="0" applyFont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2" fillId="0" borderId="5" xfId="0" applyFont="1" applyBorder="1" applyProtection="1">
      <protection locked="0"/>
    </xf>
    <xf numFmtId="0" fontId="12" fillId="0" borderId="6" xfId="0" applyFont="1" applyBorder="1" applyProtection="1">
      <protection locked="0"/>
    </xf>
    <xf numFmtId="0" fontId="8" fillId="0" borderId="5" xfId="0" applyFont="1" applyBorder="1" applyProtection="1">
      <protection locked="0"/>
    </xf>
    <xf numFmtId="0" fontId="8" fillId="0" borderId="6" xfId="0" applyFont="1" applyBorder="1" applyProtection="1">
      <protection locked="0"/>
    </xf>
    <xf numFmtId="0" fontId="8" fillId="2" borderId="5" xfId="0" applyFont="1" applyFill="1" applyBorder="1"/>
    <xf numFmtId="0" fontId="8" fillId="2" borderId="6" xfId="0" applyFont="1" applyFill="1" applyBorder="1"/>
    <xf numFmtId="0" fontId="14" fillId="0" borderId="6" xfId="0" applyFont="1" applyBorder="1"/>
    <xf numFmtId="0" fontId="8" fillId="0" borderId="6" xfId="0" applyFont="1" applyBorder="1" applyAlignment="1">
      <alignment vertical="center"/>
    </xf>
    <xf numFmtId="0" fontId="8" fillId="3" borderId="6" xfId="0" applyFont="1" applyFill="1" applyBorder="1" applyAlignment="1">
      <alignment vertical="center"/>
    </xf>
    <xf numFmtId="0" fontId="9" fillId="0" borderId="6" xfId="0" applyFont="1" applyBorder="1" applyAlignment="1">
      <alignment vertical="center"/>
    </xf>
    <xf numFmtId="0" fontId="8" fillId="0" borderId="6" xfId="0" quotePrefix="1" applyFont="1" applyBorder="1" applyAlignment="1">
      <alignment horizontal="left" vertical="center"/>
    </xf>
    <xf numFmtId="0" fontId="8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left" vertical="center"/>
    </xf>
    <xf numFmtId="0" fontId="16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left" vertical="center"/>
    </xf>
    <xf numFmtId="0" fontId="8" fillId="2" borderId="6" xfId="0" quotePrefix="1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7" fillId="0" borderId="7" xfId="0" applyFont="1" applyBorder="1"/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6" fillId="0" borderId="0" xfId="0" applyFont="1" applyAlignment="1">
      <alignment horizontal="right" vertical="center"/>
    </xf>
    <xf numFmtId="6" fontId="9" fillId="3" borderId="10" xfId="0" applyNumberFormat="1" applyFont="1" applyFill="1" applyBorder="1" applyAlignment="1">
      <alignment vertical="center"/>
    </xf>
    <xf numFmtId="6" fontId="9" fillId="3" borderId="11" xfId="0" applyNumberFormat="1" applyFont="1" applyFill="1" applyBorder="1" applyAlignment="1">
      <alignment vertical="center"/>
    </xf>
    <xf numFmtId="6" fontId="9" fillId="3" borderId="12" xfId="0" applyNumberFormat="1" applyFont="1" applyFill="1" applyBorder="1" applyAlignment="1">
      <alignment vertical="center"/>
    </xf>
    <xf numFmtId="6" fontId="9" fillId="3" borderId="13" xfId="0" applyNumberFormat="1" applyFont="1" applyFill="1" applyBorder="1" applyAlignment="1">
      <alignment vertical="center"/>
    </xf>
    <xf numFmtId="6" fontId="9" fillId="3" borderId="14" xfId="0" applyNumberFormat="1" applyFont="1" applyFill="1" applyBorder="1" applyAlignment="1">
      <alignment vertical="center"/>
    </xf>
    <xf numFmtId="6" fontId="9" fillId="3" borderId="15" xfId="0" applyNumberFormat="1" applyFont="1" applyFill="1" applyBorder="1" applyAlignment="1">
      <alignment vertical="center"/>
    </xf>
    <xf numFmtId="164" fontId="7" fillId="0" borderId="16" xfId="2" applyNumberFormat="1" applyFont="1" applyBorder="1" applyAlignment="1" applyProtection="1">
      <alignment horizontal="left"/>
      <protection locked="0"/>
    </xf>
    <xf numFmtId="164" fontId="7" fillId="2" borderId="16" xfId="2" applyNumberFormat="1" applyFont="1" applyFill="1" applyBorder="1" applyAlignment="1">
      <alignment horizontal="left"/>
    </xf>
    <xf numFmtId="6" fontId="7" fillId="3" borderId="16" xfId="0" applyNumberFormat="1" applyFont="1" applyFill="1" applyBorder="1" applyAlignment="1">
      <alignment horizontal="left"/>
    </xf>
    <xf numFmtId="0" fontId="8" fillId="0" borderId="17" xfId="0" applyFont="1" applyBorder="1" applyAlignment="1">
      <alignment horizontal="center"/>
    </xf>
    <xf numFmtId="6" fontId="7" fillId="3" borderId="18" xfId="0" applyNumberFormat="1" applyFont="1" applyFill="1" applyBorder="1"/>
    <xf numFmtId="164" fontId="7" fillId="3" borderId="18" xfId="2" applyNumberFormat="1" applyFont="1" applyFill="1" applyBorder="1" applyAlignment="1">
      <alignment horizontal="center"/>
    </xf>
    <xf numFmtId="0" fontId="12" fillId="0" borderId="17" xfId="0" applyFont="1" applyBorder="1" applyAlignment="1" applyProtection="1">
      <alignment horizontal="center"/>
      <protection locked="0"/>
    </xf>
    <xf numFmtId="0" fontId="8" fillId="0" borderId="17" xfId="0" applyFont="1" applyBorder="1" applyAlignment="1" applyProtection="1">
      <alignment horizontal="center"/>
      <protection locked="0"/>
    </xf>
    <xf numFmtId="6" fontId="7" fillId="3" borderId="19" xfId="0" applyNumberFormat="1" applyFont="1" applyFill="1" applyBorder="1"/>
    <xf numFmtId="164" fontId="7" fillId="3" borderId="19" xfId="2" applyNumberFormat="1" applyFont="1" applyFill="1" applyBorder="1" applyAlignment="1">
      <alignment horizontal="center"/>
    </xf>
    <xf numFmtId="0" fontId="8" fillId="2" borderId="17" xfId="0" applyFont="1" applyFill="1" applyBorder="1" applyAlignment="1">
      <alignment horizontal="left"/>
    </xf>
    <xf numFmtId="6" fontId="7" fillId="2" borderId="17" xfId="0" applyNumberFormat="1" applyFont="1" applyFill="1" applyBorder="1"/>
    <xf numFmtId="164" fontId="7" fillId="2" borderId="17" xfId="2" applyNumberFormat="1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12" fillId="0" borderId="17" xfId="0" applyFont="1" applyBorder="1" applyAlignment="1" applyProtection="1">
      <alignment horizontal="left"/>
      <protection locked="0"/>
    </xf>
    <xf numFmtId="0" fontId="8" fillId="0" borderId="17" xfId="0" applyFont="1" applyBorder="1" applyAlignment="1" applyProtection="1">
      <alignment horizontal="left"/>
      <protection locked="0"/>
    </xf>
    <xf numFmtId="6" fontId="7" fillId="0" borderId="20" xfId="0" applyNumberFormat="1" applyFont="1" applyBorder="1" applyProtection="1">
      <protection locked="0"/>
    </xf>
    <xf numFmtId="6" fontId="7" fillId="3" borderId="20" xfId="0" applyNumberFormat="1" applyFont="1" applyFill="1" applyBorder="1"/>
    <xf numFmtId="6" fontId="13" fillId="0" borderId="20" xfId="0" applyNumberFormat="1" applyFont="1" applyBorder="1" applyProtection="1">
      <protection locked="0"/>
    </xf>
    <xf numFmtId="6" fontId="7" fillId="2" borderId="20" xfId="0" applyNumberFormat="1" applyFont="1" applyFill="1" applyBorder="1"/>
    <xf numFmtId="6" fontId="7" fillId="0" borderId="21" xfId="0" applyNumberFormat="1" applyFont="1" applyBorder="1" applyProtection="1">
      <protection locked="0"/>
    </xf>
    <xf numFmtId="6" fontId="7" fillId="3" borderId="21" xfId="0" applyNumberFormat="1" applyFont="1" applyFill="1" applyBorder="1"/>
    <xf numFmtId="6" fontId="13" fillId="0" borderId="21" xfId="0" applyNumberFormat="1" applyFont="1" applyBorder="1" applyProtection="1">
      <protection locked="0"/>
    </xf>
    <xf numFmtId="6" fontId="7" fillId="2" borderId="21" xfId="0" applyNumberFormat="1" applyFont="1" applyFill="1" applyBorder="1"/>
    <xf numFmtId="6" fontId="7" fillId="3" borderId="22" xfId="0" applyNumberFormat="1" applyFont="1" applyFill="1" applyBorder="1"/>
    <xf numFmtId="6" fontId="7" fillId="3" borderId="23" xfId="0" applyNumberFormat="1" applyFont="1" applyFill="1" applyBorder="1"/>
    <xf numFmtId="164" fontId="7" fillId="3" borderId="16" xfId="2" applyNumberFormat="1" applyFont="1" applyFill="1" applyBorder="1" applyAlignment="1">
      <alignment horizontal="left"/>
    </xf>
    <xf numFmtId="164" fontId="7" fillId="3" borderId="18" xfId="2" applyNumberFormat="1" applyFont="1" applyFill="1" applyBorder="1" applyAlignment="1" applyProtection="1">
      <alignment horizontal="center"/>
    </xf>
    <xf numFmtId="164" fontId="7" fillId="3" borderId="19" xfId="2" applyNumberFormat="1" applyFont="1" applyFill="1" applyBorder="1" applyAlignment="1" applyProtection="1">
      <alignment horizontal="center"/>
    </xf>
    <xf numFmtId="164" fontId="7" fillId="2" borderId="17" xfId="2" applyNumberFormat="1" applyFont="1" applyFill="1" applyBorder="1" applyAlignment="1" applyProtection="1">
      <alignment horizontal="center"/>
    </xf>
    <xf numFmtId="164" fontId="7" fillId="3" borderId="17" xfId="2" applyNumberFormat="1" applyFont="1" applyFill="1" applyBorder="1" applyAlignment="1" applyProtection="1">
      <alignment horizontal="center"/>
    </xf>
    <xf numFmtId="0" fontId="8" fillId="0" borderId="17" xfId="0" applyFont="1" applyBorder="1" applyAlignment="1">
      <alignment horizontal="center" vertical="center"/>
    </xf>
    <xf numFmtId="6" fontId="8" fillId="3" borderId="18" xfId="0" applyNumberFormat="1" applyFont="1" applyFill="1" applyBorder="1" applyAlignment="1">
      <alignment vertical="center"/>
    </xf>
    <xf numFmtId="6" fontId="8" fillId="3" borderId="19" xfId="0" applyNumberFormat="1" applyFont="1" applyFill="1" applyBorder="1" applyAlignment="1">
      <alignment vertical="center"/>
    </xf>
    <xf numFmtId="0" fontId="8" fillId="2" borderId="17" xfId="0" quotePrefix="1" applyFont="1" applyFill="1" applyBorder="1" applyAlignment="1">
      <alignment horizontal="center" vertical="center"/>
    </xf>
    <xf numFmtId="6" fontId="8" fillId="2" borderId="17" xfId="0" applyNumberFormat="1" applyFont="1" applyFill="1" applyBorder="1" applyAlignment="1">
      <alignment vertical="center"/>
    </xf>
    <xf numFmtId="0" fontId="8" fillId="0" borderId="17" xfId="0" quotePrefix="1" applyFont="1" applyBorder="1" applyAlignment="1">
      <alignment horizontal="center" vertical="center"/>
    </xf>
    <xf numFmtId="6" fontId="8" fillId="0" borderId="24" xfId="0" applyNumberFormat="1" applyFont="1" applyBorder="1" applyAlignment="1" applyProtection="1">
      <alignment vertical="center"/>
      <protection locked="0"/>
    </xf>
    <xf numFmtId="6" fontId="8" fillId="4" borderId="24" xfId="0" applyNumberFormat="1" applyFont="1" applyFill="1" applyBorder="1" applyAlignment="1">
      <alignment vertical="center"/>
    </xf>
    <xf numFmtId="5" fontId="8" fillId="0" borderId="25" xfId="0" applyNumberFormat="1" applyFont="1" applyBorder="1" applyAlignment="1" applyProtection="1">
      <alignment vertical="center"/>
      <protection locked="0"/>
    </xf>
    <xf numFmtId="6" fontId="8" fillId="4" borderId="25" xfId="0" applyNumberFormat="1" applyFont="1" applyFill="1" applyBorder="1" applyAlignment="1">
      <alignment vertical="center"/>
    </xf>
    <xf numFmtId="5" fontId="8" fillId="0" borderId="24" xfId="0" applyNumberFormat="1" applyFont="1" applyBorder="1" applyAlignment="1" applyProtection="1">
      <alignment vertical="center"/>
      <protection locked="0"/>
    </xf>
    <xf numFmtId="5" fontId="8" fillId="0" borderId="26" xfId="0" applyNumberFormat="1" applyFont="1" applyBorder="1" applyAlignment="1" applyProtection="1">
      <alignment vertical="center"/>
      <protection locked="0"/>
    </xf>
    <xf numFmtId="0" fontId="8" fillId="0" borderId="27" xfId="0" applyFont="1" applyBorder="1"/>
    <xf numFmtId="0" fontId="8" fillId="0" borderId="28" xfId="0" applyFont="1" applyBorder="1"/>
    <xf numFmtId="0" fontId="8" fillId="0" borderId="29" xfId="0" applyFont="1" applyBorder="1" applyAlignment="1">
      <alignment horizontal="center"/>
    </xf>
    <xf numFmtId="6" fontId="7" fillId="0" borderId="31" xfId="0" applyNumberFormat="1" applyFont="1" applyBorder="1" applyProtection="1">
      <protection locked="0"/>
    </xf>
    <xf numFmtId="6" fontId="7" fillId="3" borderId="32" xfId="0" applyNumberFormat="1" applyFont="1" applyFill="1" applyBorder="1"/>
    <xf numFmtId="164" fontId="7" fillId="3" borderId="32" xfId="2" applyNumberFormat="1" applyFont="1" applyFill="1" applyBorder="1" applyAlignment="1">
      <alignment horizontal="center"/>
    </xf>
    <xf numFmtId="164" fontId="7" fillId="0" borderId="33" xfId="2" applyNumberFormat="1" applyFont="1" applyBorder="1" applyAlignment="1" applyProtection="1">
      <alignment horizontal="left"/>
      <protection locked="0"/>
    </xf>
    <xf numFmtId="0" fontId="8" fillId="3" borderId="29" xfId="0" applyFont="1" applyFill="1" applyBorder="1" applyAlignment="1">
      <alignment horizontal="left"/>
    </xf>
    <xf numFmtId="6" fontId="7" fillId="3" borderId="30" xfId="0" applyNumberFormat="1" applyFont="1" applyFill="1" applyBorder="1"/>
    <xf numFmtId="6" fontId="7" fillId="3" borderId="31" xfId="0" applyNumberFormat="1" applyFont="1" applyFill="1" applyBorder="1"/>
    <xf numFmtId="6" fontId="7" fillId="3" borderId="33" xfId="0" applyNumberFormat="1" applyFont="1" applyFill="1" applyBorder="1" applyAlignment="1">
      <alignment horizontal="left"/>
    </xf>
    <xf numFmtId="8" fontId="7" fillId="3" borderId="32" xfId="0" applyNumberFormat="1" applyFont="1" applyFill="1" applyBorder="1"/>
    <xf numFmtId="164" fontId="7" fillId="3" borderId="32" xfId="2" applyNumberFormat="1" applyFont="1" applyFill="1" applyBorder="1" applyAlignment="1" applyProtection="1">
      <alignment horizontal="center"/>
    </xf>
    <xf numFmtId="164" fontId="7" fillId="3" borderId="33" xfId="2" applyNumberFormat="1" applyFont="1" applyFill="1" applyBorder="1" applyAlignment="1">
      <alignment horizontal="center"/>
    </xf>
    <xf numFmtId="0" fontId="8" fillId="0" borderId="28" xfId="0" quotePrefix="1" applyFont="1" applyBorder="1" applyAlignment="1">
      <alignment horizontal="left" vertical="center"/>
    </xf>
    <xf numFmtId="0" fontId="8" fillId="0" borderId="28" xfId="0" applyFont="1" applyBorder="1" applyAlignment="1">
      <alignment vertical="center"/>
    </xf>
    <xf numFmtId="0" fontId="8" fillId="3" borderId="29" xfId="0" applyFont="1" applyFill="1" applyBorder="1" applyAlignment="1">
      <alignment vertical="center"/>
    </xf>
    <xf numFmtId="0" fontId="8" fillId="3" borderId="34" xfId="0" applyFont="1" applyFill="1" applyBorder="1" applyAlignment="1">
      <alignment vertical="center"/>
    </xf>
    <xf numFmtId="37" fontId="8" fillId="3" borderId="26" xfId="0" applyNumberFormat="1" applyFont="1" applyFill="1" applyBorder="1" applyAlignment="1">
      <alignment vertical="center"/>
    </xf>
    <xf numFmtId="37" fontId="8" fillId="3" borderId="34" xfId="0" applyNumberFormat="1" applyFont="1" applyFill="1" applyBorder="1" applyAlignment="1">
      <alignment vertical="center"/>
    </xf>
    <xf numFmtId="6" fontId="8" fillId="3" borderId="32" xfId="0" applyNumberFormat="1" applyFont="1" applyFill="1" applyBorder="1" applyAlignment="1">
      <alignment vertical="center"/>
    </xf>
    <xf numFmtId="164" fontId="7" fillId="3" borderId="33" xfId="2" applyNumberFormat="1" applyFont="1" applyFill="1" applyBorder="1" applyAlignment="1">
      <alignment horizontal="left"/>
    </xf>
    <xf numFmtId="0" fontId="8" fillId="0" borderId="35" xfId="0" applyFont="1" applyBorder="1"/>
    <xf numFmtId="0" fontId="8" fillId="0" borderId="36" xfId="0" applyFont="1" applyBorder="1"/>
    <xf numFmtId="0" fontId="8" fillId="0" borderId="37" xfId="0" applyFont="1" applyBorder="1" applyAlignment="1">
      <alignment horizontal="left"/>
    </xf>
    <xf numFmtId="6" fontId="7" fillId="0" borderId="38" xfId="0" applyNumberFormat="1" applyFont="1" applyBorder="1"/>
    <xf numFmtId="6" fontId="7" fillId="0" borderId="39" xfId="0" applyNumberFormat="1" applyFont="1" applyBorder="1"/>
    <xf numFmtId="6" fontId="7" fillId="0" borderId="37" xfId="0" applyNumberFormat="1" applyFont="1" applyBorder="1"/>
    <xf numFmtId="6" fontId="7" fillId="0" borderId="40" xfId="0" applyNumberFormat="1" applyFont="1" applyBorder="1" applyAlignment="1">
      <alignment horizontal="left"/>
    </xf>
    <xf numFmtId="0" fontId="8" fillId="3" borderId="41" xfId="0" applyFont="1" applyFill="1" applyBorder="1"/>
    <xf numFmtId="8" fontId="7" fillId="3" borderId="42" xfId="0" applyNumberFormat="1" applyFont="1" applyFill="1" applyBorder="1" applyAlignment="1">
      <alignment horizontal="left"/>
    </xf>
    <xf numFmtId="6" fontId="7" fillId="3" borderId="42" xfId="0" applyNumberFormat="1" applyFont="1" applyFill="1" applyBorder="1" applyAlignment="1">
      <alignment horizontal="left"/>
    </xf>
    <xf numFmtId="164" fontId="7" fillId="3" borderId="42" xfId="2" applyNumberFormat="1" applyFont="1" applyFill="1" applyBorder="1" applyAlignment="1">
      <alignment horizontal="center"/>
    </xf>
    <xf numFmtId="0" fontId="8" fillId="3" borderId="41" xfId="0" applyFont="1" applyFill="1" applyBorder="1" applyAlignment="1">
      <alignment vertical="center"/>
    </xf>
    <xf numFmtId="164" fontId="7" fillId="3" borderId="42" xfId="2" applyNumberFormat="1" applyFont="1" applyFill="1" applyBorder="1" applyAlignment="1">
      <alignment horizontal="left"/>
    </xf>
    <xf numFmtId="0" fontId="8" fillId="0" borderId="29" xfId="0" applyFont="1" applyBorder="1" applyAlignment="1">
      <alignment horizontal="center" vertical="center"/>
    </xf>
    <xf numFmtId="6" fontId="8" fillId="0" borderId="34" xfId="0" applyNumberFormat="1" applyFont="1" applyBorder="1" applyAlignment="1" applyProtection="1">
      <alignment vertical="center"/>
      <protection locked="0"/>
    </xf>
    <xf numFmtId="5" fontId="8" fillId="0" borderId="34" xfId="0" applyNumberFormat="1" applyFont="1" applyBorder="1" applyAlignment="1" applyProtection="1">
      <alignment vertical="center"/>
      <protection locked="0"/>
    </xf>
    <xf numFmtId="0" fontId="16" fillId="0" borderId="28" xfId="0" applyFont="1" applyBorder="1" applyAlignment="1">
      <alignment horizontal="left" vertical="center"/>
    </xf>
    <xf numFmtId="0" fontId="8" fillId="0" borderId="28" xfId="0" applyFont="1" applyBorder="1" applyAlignment="1">
      <alignment horizontal="left" vertical="center"/>
    </xf>
    <xf numFmtId="8" fontId="7" fillId="3" borderId="31" xfId="0" applyNumberFormat="1" applyFont="1" applyFill="1" applyBorder="1"/>
    <xf numFmtId="6" fontId="7" fillId="0" borderId="39" xfId="0" applyNumberFormat="1" applyFont="1" applyBorder="1" applyProtection="1">
      <protection locked="0"/>
    </xf>
    <xf numFmtId="6" fontId="7" fillId="3" borderId="43" xfId="0" applyNumberFormat="1" applyFont="1" applyFill="1" applyBorder="1"/>
    <xf numFmtId="6" fontId="7" fillId="3" borderId="44" xfId="0" applyNumberFormat="1" applyFont="1" applyFill="1" applyBorder="1"/>
    <xf numFmtId="8" fontId="7" fillId="3" borderId="45" xfId="0" applyNumberFormat="1" applyFont="1" applyFill="1" applyBorder="1"/>
    <xf numFmtId="6" fontId="7" fillId="0" borderId="38" xfId="0" applyNumberFormat="1" applyFont="1" applyBorder="1" applyProtection="1">
      <protection locked="0"/>
    </xf>
    <xf numFmtId="6" fontId="7" fillId="3" borderId="45" xfId="0" applyNumberFormat="1" applyFont="1" applyFill="1" applyBorder="1"/>
    <xf numFmtId="6" fontId="7" fillId="3" borderId="46" xfId="0" applyNumberFormat="1" applyFont="1" applyFill="1" applyBorder="1"/>
    <xf numFmtId="0" fontId="6" fillId="2" borderId="47" xfId="0" applyFont="1" applyFill="1" applyBorder="1" applyAlignment="1">
      <alignment vertical="center"/>
    </xf>
    <xf numFmtId="0" fontId="6" fillId="2" borderId="47" xfId="0" applyFont="1" applyFill="1" applyBorder="1" applyAlignment="1">
      <alignment horizontal="left" vertical="center"/>
    </xf>
    <xf numFmtId="0" fontId="9" fillId="2" borderId="48" xfId="0" applyFont="1" applyFill="1" applyBorder="1" applyAlignment="1">
      <alignment horizontal="center" vertical="center"/>
    </xf>
    <xf numFmtId="6" fontId="9" fillId="2" borderId="49" xfId="0" applyNumberFormat="1" applyFont="1" applyFill="1" applyBorder="1" applyAlignment="1">
      <alignment vertical="center"/>
    </xf>
    <xf numFmtId="6" fontId="9" fillId="2" borderId="50" xfId="0" applyNumberFormat="1" applyFont="1" applyFill="1" applyBorder="1" applyAlignment="1">
      <alignment vertical="center"/>
    </xf>
    <xf numFmtId="6" fontId="7" fillId="2" borderId="48" xfId="0" applyNumberFormat="1" applyFont="1" applyFill="1" applyBorder="1"/>
    <xf numFmtId="164" fontId="7" fillId="2" borderId="48" xfId="2" applyNumberFormat="1" applyFont="1" applyFill="1" applyBorder="1" applyAlignment="1" applyProtection="1">
      <alignment horizontal="center"/>
    </xf>
    <xf numFmtId="164" fontId="7" fillId="2" borderId="51" xfId="2" applyNumberFormat="1" applyFont="1" applyFill="1" applyBorder="1" applyAlignment="1">
      <alignment horizontal="left"/>
    </xf>
    <xf numFmtId="0" fontId="10" fillId="2" borderId="52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53" xfId="0" applyFont="1" applyFill="1" applyBorder="1" applyAlignment="1">
      <alignment horizontal="center"/>
    </xf>
    <xf numFmtId="0" fontId="8" fillId="2" borderId="54" xfId="0" applyFont="1" applyFill="1" applyBorder="1"/>
    <xf numFmtId="0" fontId="8" fillId="2" borderId="47" xfId="0" applyFont="1" applyFill="1" applyBorder="1"/>
    <xf numFmtId="0" fontId="8" fillId="2" borderId="48" xfId="0" applyFont="1" applyFill="1" applyBorder="1" applyAlignment="1">
      <alignment horizontal="left"/>
    </xf>
    <xf numFmtId="6" fontId="7" fillId="2" borderId="55" xfId="0" applyNumberFormat="1" applyFont="1" applyFill="1" applyBorder="1"/>
    <xf numFmtId="6" fontId="7" fillId="2" borderId="56" xfId="0" applyNumberFormat="1" applyFont="1" applyFill="1" applyBorder="1"/>
    <xf numFmtId="164" fontId="7" fillId="2" borderId="48" xfId="2" applyNumberFormat="1" applyFont="1" applyFill="1" applyBorder="1" applyAlignment="1">
      <alignment horizontal="center"/>
    </xf>
    <xf numFmtId="0" fontId="17" fillId="0" borderId="57" xfId="0" applyFont="1" applyBorder="1"/>
    <xf numFmtId="0" fontId="17" fillId="0" borderId="58" xfId="0" applyFont="1" applyBorder="1"/>
    <xf numFmtId="0" fontId="7" fillId="0" borderId="0" xfId="0" applyFont="1"/>
    <xf numFmtId="0" fontId="10" fillId="3" borderId="59" xfId="0" applyFont="1" applyFill="1" applyBorder="1" applyAlignment="1">
      <alignment horizontal="center"/>
    </xf>
    <xf numFmtId="0" fontId="10" fillId="3" borderId="60" xfId="0" applyFont="1" applyFill="1" applyBorder="1" applyAlignment="1">
      <alignment horizontal="center"/>
    </xf>
    <xf numFmtId="0" fontId="10" fillId="3" borderId="61" xfId="0" applyFont="1" applyFill="1" applyBorder="1" applyAlignment="1">
      <alignment horizontal="center"/>
    </xf>
    <xf numFmtId="37" fontId="17" fillId="0" borderId="62" xfId="0" applyNumberFormat="1" applyFont="1" applyBorder="1"/>
    <xf numFmtId="0" fontId="17" fillId="0" borderId="63" xfId="0" applyFont="1" applyBorder="1"/>
    <xf numFmtId="0" fontId="8" fillId="3" borderId="18" xfId="0" applyFont="1" applyFill="1" applyBorder="1" applyAlignment="1">
      <alignment horizontal="center"/>
    </xf>
    <xf numFmtId="8" fontId="7" fillId="3" borderId="18" xfId="0" applyNumberFormat="1" applyFont="1" applyFill="1" applyBorder="1"/>
    <xf numFmtId="8" fontId="7" fillId="3" borderId="18" xfId="0" applyNumberFormat="1" applyFont="1" applyFill="1" applyBorder="1" applyAlignment="1">
      <alignment horizontal="center"/>
    </xf>
    <xf numFmtId="6" fontId="7" fillId="3" borderId="64" xfId="0" applyNumberFormat="1" applyFont="1" applyFill="1" applyBorder="1"/>
    <xf numFmtId="0" fontId="8" fillId="3" borderId="18" xfId="0" applyFont="1" applyFill="1" applyBorder="1" applyAlignment="1">
      <alignment horizontal="left"/>
    </xf>
    <xf numFmtId="8" fontId="7" fillId="3" borderId="44" xfId="0" applyNumberFormat="1" applyFont="1" applyFill="1" applyBorder="1"/>
    <xf numFmtId="8" fontId="7" fillId="3" borderId="46" xfId="0" applyNumberFormat="1" applyFont="1" applyFill="1" applyBorder="1"/>
    <xf numFmtId="37" fontId="17" fillId="0" borderId="65" xfId="0" applyNumberFormat="1" applyFont="1" applyBorder="1"/>
    <xf numFmtId="6" fontId="7" fillId="0" borderId="66" xfId="0" applyNumberFormat="1" applyFont="1" applyBorder="1" applyProtection="1">
      <protection locked="0"/>
    </xf>
    <xf numFmtId="6" fontId="7" fillId="0" borderId="67" xfId="0" applyNumberFormat="1" applyFont="1" applyBorder="1" applyProtection="1">
      <protection locked="0"/>
    </xf>
    <xf numFmtId="6" fontId="13" fillId="0" borderId="67" xfId="0" applyNumberFormat="1" applyFont="1" applyBorder="1" applyProtection="1">
      <protection locked="0"/>
    </xf>
    <xf numFmtId="6" fontId="7" fillId="2" borderId="67" xfId="0" applyNumberFormat="1" applyFont="1" applyFill="1" applyBorder="1"/>
    <xf numFmtId="6" fontId="7" fillId="0" borderId="68" xfId="0" applyNumberFormat="1" applyFont="1" applyBorder="1"/>
    <xf numFmtId="6" fontId="7" fillId="2" borderId="69" xfId="0" applyNumberFormat="1" applyFont="1" applyFill="1" applyBorder="1"/>
    <xf numFmtId="0" fontId="8" fillId="3" borderId="70" xfId="0" applyFont="1" applyFill="1" applyBorder="1" applyAlignment="1">
      <alignment horizontal="left"/>
    </xf>
    <xf numFmtId="6" fontId="7" fillId="3" borderId="71" xfId="0" applyNumberFormat="1" applyFont="1" applyFill="1" applyBorder="1"/>
    <xf numFmtId="6" fontId="7" fillId="3" borderId="72" xfId="0" applyNumberFormat="1" applyFont="1" applyFill="1" applyBorder="1"/>
    <xf numFmtId="6" fontId="7" fillId="3" borderId="70" xfId="0" applyNumberFormat="1" applyFont="1" applyFill="1" applyBorder="1"/>
    <xf numFmtId="164" fontId="7" fillId="3" borderId="70" xfId="2" applyNumberFormat="1" applyFont="1" applyFill="1" applyBorder="1" applyAlignment="1" applyProtection="1">
      <alignment horizontal="center"/>
    </xf>
    <xf numFmtId="164" fontId="7" fillId="3" borderId="73" xfId="2" applyNumberFormat="1" applyFont="1" applyFill="1" applyBorder="1" applyAlignment="1">
      <alignment horizontal="left"/>
    </xf>
    <xf numFmtId="0" fontId="8" fillId="3" borderId="18" xfId="0" applyFont="1" applyFill="1" applyBorder="1" applyAlignment="1">
      <alignment vertical="center"/>
    </xf>
    <xf numFmtId="0" fontId="8" fillId="3" borderId="18" xfId="0" quotePrefix="1" applyFont="1" applyFill="1" applyBorder="1" applyAlignment="1">
      <alignment horizontal="center" vertical="center"/>
    </xf>
    <xf numFmtId="37" fontId="8" fillId="3" borderId="44" xfId="0" applyNumberFormat="1" applyFont="1" applyFill="1" applyBorder="1" applyAlignment="1">
      <alignment vertical="center"/>
    </xf>
    <xf numFmtId="0" fontId="8" fillId="3" borderId="46" xfId="0" applyFont="1" applyFill="1" applyBorder="1" applyAlignment="1">
      <alignment vertical="center"/>
    </xf>
    <xf numFmtId="37" fontId="8" fillId="3" borderId="46" xfId="0" applyNumberFormat="1" applyFont="1" applyFill="1" applyBorder="1" applyAlignment="1">
      <alignment vertical="center"/>
    </xf>
    <xf numFmtId="0" fontId="8" fillId="3" borderId="17" xfId="0" applyFont="1" applyFill="1" applyBorder="1" applyAlignment="1">
      <alignment horizontal="center" vertical="center"/>
    </xf>
    <xf numFmtId="6" fontId="8" fillId="3" borderId="17" xfId="0" applyNumberFormat="1" applyFont="1" applyFill="1" applyBorder="1" applyAlignment="1">
      <alignment vertical="center"/>
    </xf>
    <xf numFmtId="5" fontId="8" fillId="3" borderId="20" xfId="0" applyNumberFormat="1" applyFont="1" applyFill="1" applyBorder="1" applyAlignment="1">
      <alignment vertical="center"/>
    </xf>
    <xf numFmtId="5" fontId="8" fillId="3" borderId="21" xfId="0" applyNumberFormat="1" applyFont="1" applyFill="1" applyBorder="1" applyAlignment="1">
      <alignment vertical="center"/>
    </xf>
    <xf numFmtId="6" fontId="8" fillId="3" borderId="21" xfId="0" applyNumberFormat="1" applyFont="1" applyFill="1" applyBorder="1" applyAlignment="1">
      <alignment vertical="center"/>
    </xf>
    <xf numFmtId="0" fontId="10" fillId="0" borderId="74" xfId="0" applyFont="1" applyBorder="1" applyAlignment="1">
      <alignment horizontal="center"/>
    </xf>
    <xf numFmtId="6" fontId="17" fillId="0" borderId="75" xfId="0" applyNumberFormat="1" applyFont="1" applyBorder="1"/>
    <xf numFmtId="5" fontId="17" fillId="0" borderId="76" xfId="0" applyNumberFormat="1" applyFont="1" applyBorder="1"/>
    <xf numFmtId="5" fontId="17" fillId="0" borderId="77" xfId="0" applyNumberFormat="1" applyFont="1" applyBorder="1"/>
    <xf numFmtId="5" fontId="17" fillId="0" borderId="62" xfId="0" applyNumberFormat="1" applyFont="1" applyBorder="1"/>
    <xf numFmtId="0" fontId="17" fillId="0" borderId="57" xfId="0" applyFont="1" applyBorder="1" applyAlignment="1">
      <alignment horizontal="center"/>
    </xf>
    <xf numFmtId="0" fontId="17" fillId="0" borderId="57" xfId="0" quotePrefix="1" applyFont="1" applyBorder="1" applyAlignment="1">
      <alignment horizontal="center"/>
    </xf>
    <xf numFmtId="164" fontId="7" fillId="0" borderId="57" xfId="2" applyNumberFormat="1" applyFont="1" applyFill="1" applyBorder="1" applyAlignment="1">
      <alignment horizontal="center"/>
    </xf>
    <xf numFmtId="164" fontId="7" fillId="0" borderId="58" xfId="2" applyNumberFormat="1" applyFont="1" applyBorder="1" applyAlignment="1">
      <alignment horizontal="left"/>
    </xf>
    <xf numFmtId="0" fontId="5" fillId="2" borderId="47" xfId="0" applyFont="1" applyFill="1" applyBorder="1"/>
    <xf numFmtId="0" fontId="9" fillId="2" borderId="48" xfId="0" applyFont="1" applyFill="1" applyBorder="1" applyAlignment="1">
      <alignment horizontal="left"/>
    </xf>
    <xf numFmtId="6" fontId="5" fillId="2" borderId="55" xfId="0" applyNumberFormat="1" applyFont="1" applyFill="1" applyBorder="1"/>
    <xf numFmtId="6" fontId="5" fillId="2" borderId="56" xfId="0" applyNumberFormat="1" applyFont="1" applyFill="1" applyBorder="1"/>
    <xf numFmtId="0" fontId="10" fillId="3" borderId="78" xfId="0" applyFont="1" applyFill="1" applyBorder="1" applyAlignment="1">
      <alignment horizontal="center"/>
    </xf>
    <xf numFmtId="0" fontId="8" fillId="3" borderId="28" xfId="0" applyFont="1" applyFill="1" applyBorder="1" applyAlignment="1">
      <alignment vertical="center"/>
    </xf>
    <xf numFmtId="0" fontId="8" fillId="3" borderId="29" xfId="0" applyFont="1" applyFill="1" applyBorder="1" applyAlignment="1">
      <alignment horizontal="center" vertical="center"/>
    </xf>
    <xf numFmtId="6" fontId="8" fillId="3" borderId="30" xfId="0" applyNumberFormat="1" applyFont="1" applyFill="1" applyBorder="1" applyAlignment="1">
      <alignment vertical="center"/>
    </xf>
    <xf numFmtId="5" fontId="8" fillId="3" borderId="31" xfId="0" applyNumberFormat="1" applyFont="1" applyFill="1" applyBorder="1" applyAlignment="1">
      <alignment vertical="center"/>
    </xf>
    <xf numFmtId="5" fontId="8" fillId="3" borderId="30" xfId="0" applyNumberFormat="1" applyFont="1" applyFill="1" applyBorder="1" applyAlignment="1">
      <alignment vertical="center"/>
    </xf>
    <xf numFmtId="6" fontId="8" fillId="3" borderId="29" xfId="0" applyNumberFormat="1" applyFont="1" applyFill="1" applyBorder="1" applyAlignment="1">
      <alignment vertical="center"/>
    </xf>
    <xf numFmtId="164" fontId="7" fillId="3" borderId="29" xfId="2" applyNumberFormat="1" applyFont="1" applyFill="1" applyBorder="1" applyAlignment="1" applyProtection="1">
      <alignment horizontal="center"/>
    </xf>
    <xf numFmtId="0" fontId="8" fillId="2" borderId="47" xfId="0" applyFont="1" applyFill="1" applyBorder="1" applyAlignment="1">
      <alignment vertical="center"/>
    </xf>
    <xf numFmtId="0" fontId="8" fillId="2" borderId="47" xfId="0" quotePrefix="1" applyFont="1" applyFill="1" applyBorder="1" applyAlignment="1">
      <alignment horizontal="left" vertical="center"/>
    </xf>
    <xf numFmtId="0" fontId="8" fillId="2" borderId="48" xfId="0" quotePrefix="1" applyFont="1" applyFill="1" applyBorder="1" applyAlignment="1">
      <alignment horizontal="center" vertical="center"/>
    </xf>
    <xf numFmtId="6" fontId="8" fillId="4" borderId="49" xfId="0" applyNumberFormat="1" applyFont="1" applyFill="1" applyBorder="1" applyAlignment="1">
      <alignment vertical="center"/>
    </xf>
    <xf numFmtId="6" fontId="8" fillId="4" borderId="50" xfId="0" applyNumberFormat="1" applyFont="1" applyFill="1" applyBorder="1" applyAlignment="1">
      <alignment vertical="center"/>
    </xf>
    <xf numFmtId="6" fontId="9" fillId="5" borderId="79" xfId="0" applyNumberFormat="1" applyFont="1" applyFill="1" applyBorder="1" applyAlignment="1">
      <alignment vertical="center"/>
    </xf>
    <xf numFmtId="6" fontId="9" fillId="5" borderId="80" xfId="0" applyNumberFormat="1" applyFont="1" applyFill="1" applyBorder="1" applyAlignment="1">
      <alignment vertical="center"/>
    </xf>
    <xf numFmtId="6" fontId="9" fillId="5" borderId="81" xfId="0" applyNumberFormat="1" applyFont="1" applyFill="1" applyBorder="1" applyAlignment="1">
      <alignment vertical="center"/>
    </xf>
    <xf numFmtId="6" fontId="9" fillId="5" borderId="82" xfId="0" applyNumberFormat="1" applyFont="1" applyFill="1" applyBorder="1" applyAlignment="1">
      <alignment vertical="center"/>
    </xf>
    <xf numFmtId="6" fontId="9" fillId="5" borderId="83" xfId="0" applyNumberFormat="1" applyFont="1" applyFill="1" applyBorder="1" applyAlignment="1">
      <alignment vertical="center"/>
    </xf>
    <xf numFmtId="6" fontId="9" fillId="5" borderId="84" xfId="0" applyNumberFormat="1" applyFont="1" applyFill="1" applyBorder="1" applyAlignment="1">
      <alignment vertical="center"/>
    </xf>
    <xf numFmtId="6" fontId="9" fillId="0" borderId="85" xfId="0" applyNumberFormat="1" applyFont="1" applyBorder="1" applyAlignment="1" applyProtection="1">
      <alignment vertical="center"/>
      <protection locked="0"/>
    </xf>
    <xf numFmtId="6" fontId="9" fillId="0" borderId="86" xfId="0" applyNumberFormat="1" applyFont="1" applyBorder="1" applyAlignment="1" applyProtection="1">
      <alignment vertical="center"/>
      <protection locked="0"/>
    </xf>
    <xf numFmtId="6" fontId="9" fillId="6" borderId="85" xfId="0" applyNumberFormat="1" applyFont="1" applyFill="1" applyBorder="1" applyAlignment="1">
      <alignment vertical="center"/>
    </xf>
    <xf numFmtId="6" fontId="9" fillId="6" borderId="87" xfId="0" applyNumberFormat="1" applyFont="1" applyFill="1" applyBorder="1" applyAlignment="1">
      <alignment vertical="center"/>
    </xf>
    <xf numFmtId="6" fontId="7" fillId="3" borderId="88" xfId="0" applyNumberFormat="1" applyFont="1" applyFill="1" applyBorder="1"/>
    <xf numFmtId="6" fontId="7" fillId="3" borderId="62" xfId="0" applyNumberFormat="1" applyFont="1" applyFill="1" applyBorder="1"/>
    <xf numFmtId="6" fontId="7" fillId="0" borderId="89" xfId="0" applyNumberFormat="1" applyFont="1" applyBorder="1" applyProtection="1">
      <protection locked="0"/>
    </xf>
    <xf numFmtId="6" fontId="7" fillId="0" borderId="62" xfId="0" applyNumberFormat="1" applyFont="1" applyBorder="1" applyProtection="1">
      <protection locked="0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6" fontId="2" fillId="3" borderId="46" xfId="0" applyNumberFormat="1" applyFont="1" applyFill="1" applyBorder="1"/>
    <xf numFmtId="0" fontId="10" fillId="6" borderId="8" xfId="0" applyFont="1" applyFill="1" applyBorder="1" applyAlignment="1">
      <alignment horizontal="center"/>
    </xf>
    <xf numFmtId="0" fontId="8" fillId="3" borderId="112" xfId="0" applyFont="1" applyFill="1" applyBorder="1"/>
    <xf numFmtId="0" fontId="8" fillId="6" borderId="41" xfId="0" applyFont="1" applyFill="1" applyBorder="1"/>
    <xf numFmtId="6" fontId="2" fillId="6" borderId="46" xfId="0" applyNumberFormat="1" applyFont="1" applyFill="1" applyBorder="1" applyProtection="1">
      <protection locked="0"/>
    </xf>
    <xf numFmtId="0" fontId="8" fillId="3" borderId="113" xfId="0" applyFont="1" applyFill="1" applyBorder="1"/>
    <xf numFmtId="0" fontId="8" fillId="6" borderId="114" xfId="0" applyFont="1" applyFill="1" applyBorder="1"/>
    <xf numFmtId="6" fontId="2" fillId="6" borderId="45" xfId="0" applyNumberFormat="1" applyFont="1" applyFill="1" applyBorder="1"/>
    <xf numFmtId="0" fontId="8" fillId="2" borderId="115" xfId="0" applyFont="1" applyFill="1" applyBorder="1"/>
    <xf numFmtId="164" fontId="2" fillId="2" borderId="21" xfId="0" applyNumberFormat="1" applyFont="1" applyFill="1" applyBorder="1"/>
    <xf numFmtId="6" fontId="2" fillId="0" borderId="38" xfId="0" applyNumberFormat="1" applyFont="1" applyBorder="1"/>
    <xf numFmtId="6" fontId="2" fillId="0" borderId="30" xfId="0" applyNumberFormat="1" applyFont="1" applyBorder="1"/>
    <xf numFmtId="6" fontId="2" fillId="0" borderId="21" xfId="0" applyNumberFormat="1" applyFont="1" applyBorder="1" applyProtection="1">
      <protection locked="0"/>
    </xf>
    <xf numFmtId="2" fontId="2" fillId="2" borderId="21" xfId="0" applyNumberFormat="1" applyFont="1" applyFill="1" applyBorder="1"/>
    <xf numFmtId="6" fontId="2" fillId="0" borderId="30" xfId="0" applyNumberFormat="1" applyFont="1" applyBorder="1" applyProtection="1">
      <protection locked="0"/>
    </xf>
    <xf numFmtId="6" fontId="2" fillId="0" borderId="31" xfId="0" applyNumberFormat="1" applyFont="1" applyBorder="1" applyProtection="1">
      <protection locked="0"/>
    </xf>
    <xf numFmtId="6" fontId="2" fillId="0" borderId="20" xfId="0" applyNumberFormat="1" applyFont="1" applyBorder="1" applyProtection="1">
      <protection locked="0"/>
    </xf>
    <xf numFmtId="0" fontId="8" fillId="0" borderId="116" xfId="0" applyFont="1" applyBorder="1" applyProtection="1">
      <protection locked="0"/>
    </xf>
    <xf numFmtId="164" fontId="2" fillId="0" borderId="16" xfId="3" applyNumberFormat="1" applyFont="1" applyBorder="1" applyAlignment="1" applyProtection="1">
      <alignment horizontal="left"/>
      <protection locked="0"/>
    </xf>
    <xf numFmtId="164" fontId="2" fillId="0" borderId="16" xfId="2" applyNumberFormat="1" applyFont="1" applyBorder="1" applyAlignment="1" applyProtection="1">
      <alignment horizontal="left"/>
      <protection locked="0"/>
    </xf>
    <xf numFmtId="6" fontId="2" fillId="0" borderId="67" xfId="0" applyNumberFormat="1" applyFont="1" applyBorder="1" applyProtection="1">
      <protection locked="0"/>
    </xf>
    <xf numFmtId="43" fontId="8" fillId="0" borderId="25" xfId="0" applyNumberFormat="1" applyFont="1" applyBorder="1" applyAlignment="1" applyProtection="1">
      <alignment vertical="center"/>
      <protection locked="0"/>
    </xf>
    <xf numFmtId="164" fontId="2" fillId="0" borderId="33" xfId="3" applyNumberFormat="1" applyFont="1" applyBorder="1" applyAlignment="1" applyProtection="1">
      <alignment horizontal="left" wrapText="1"/>
      <protection locked="0"/>
    </xf>
    <xf numFmtId="164" fontId="2" fillId="0" borderId="16" xfId="3" applyNumberFormat="1" applyFont="1" applyBorder="1" applyAlignment="1" applyProtection="1">
      <alignment horizontal="left" wrapText="1"/>
      <protection locked="0"/>
    </xf>
    <xf numFmtId="5" fontId="8" fillId="0" borderId="118" xfId="0" applyNumberFormat="1" applyFont="1" applyBorder="1" applyAlignment="1" applyProtection="1">
      <alignment vertical="center"/>
      <protection locked="0"/>
    </xf>
    <xf numFmtId="164" fontId="2" fillId="0" borderId="33" xfId="2" applyNumberFormat="1" applyFont="1" applyBorder="1" applyAlignment="1" applyProtection="1">
      <alignment horizontal="left"/>
      <protection locked="0"/>
    </xf>
    <xf numFmtId="164" fontId="19" fillId="0" borderId="16" xfId="4" applyNumberFormat="1" applyBorder="1" applyAlignment="1" applyProtection="1">
      <alignment horizontal="left"/>
      <protection locked="0"/>
    </xf>
    <xf numFmtId="6" fontId="2" fillId="0" borderId="62" xfId="0" applyNumberFormat="1" applyFont="1" applyBorder="1" applyProtection="1">
      <protection locked="0"/>
    </xf>
    <xf numFmtId="3" fontId="8" fillId="0" borderId="25" xfId="0" applyNumberFormat="1" applyFont="1" applyBorder="1" applyAlignment="1" applyProtection="1">
      <alignment vertical="center"/>
      <protection locked="0"/>
    </xf>
    <xf numFmtId="165" fontId="20" fillId="0" borderId="117" xfId="0" applyNumberFormat="1" applyFont="1" applyBorder="1"/>
    <xf numFmtId="43" fontId="8" fillId="0" borderId="26" xfId="0" applyNumberFormat="1" applyFont="1" applyBorder="1" applyAlignment="1" applyProtection="1">
      <alignment vertical="center"/>
      <protection locked="0"/>
    </xf>
    <xf numFmtId="44" fontId="8" fillId="0" borderId="25" xfId="0" applyNumberFormat="1" applyFont="1" applyBorder="1" applyAlignment="1" applyProtection="1">
      <alignment vertical="center"/>
      <protection locked="0"/>
    </xf>
    <xf numFmtId="0" fontId="3" fillId="0" borderId="100" xfId="0" quotePrefix="1" applyFont="1" applyBorder="1" applyAlignment="1">
      <alignment horizontal="center" vertical="center" wrapText="1"/>
    </xf>
    <xf numFmtId="0" fontId="3" fillId="0" borderId="102" xfId="0" applyFont="1" applyBorder="1" applyAlignment="1">
      <alignment horizontal="center" vertical="center" wrapText="1"/>
    </xf>
    <xf numFmtId="0" fontId="3" fillId="0" borderId="10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4" xfId="0" applyFont="1" applyBorder="1" applyAlignment="1">
      <alignment horizontal="center" vertical="center"/>
    </xf>
    <xf numFmtId="0" fontId="6" fillId="0" borderId="106" xfId="0" applyFont="1" applyBorder="1" applyAlignment="1">
      <alignment horizontal="center" vertical="center"/>
    </xf>
    <xf numFmtId="0" fontId="6" fillId="0" borderId="104" xfId="0" applyFont="1" applyBorder="1" applyAlignment="1">
      <alignment horizontal="center" vertical="center"/>
    </xf>
    <xf numFmtId="0" fontId="8" fillId="0" borderId="0" xfId="0" applyFont="1" applyAlignment="1">
      <alignment horizontal="left" wrapText="1"/>
    </xf>
    <xf numFmtId="0" fontId="3" fillId="0" borderId="3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5" xfId="0" applyFont="1" applyBorder="1" applyAlignment="1">
      <alignment horizontal="center" vertical="center" wrapText="1"/>
    </xf>
    <xf numFmtId="0" fontId="6" fillId="0" borderId="96" xfId="0" applyFont="1" applyBorder="1" applyAlignment="1" applyProtection="1">
      <alignment horizontal="center" vertical="center" wrapText="1"/>
      <protection locked="0"/>
    </xf>
    <xf numFmtId="0" fontId="6" fillId="0" borderId="97" xfId="0" applyFont="1" applyBorder="1" applyAlignment="1" applyProtection="1">
      <alignment horizontal="center" vertical="center" wrapText="1"/>
      <protection locked="0"/>
    </xf>
    <xf numFmtId="0" fontId="6" fillId="0" borderId="98" xfId="0" applyFont="1" applyBorder="1" applyAlignment="1" applyProtection="1">
      <alignment horizontal="center" vertical="center" wrapText="1"/>
      <protection locked="0"/>
    </xf>
    <xf numFmtId="0" fontId="6" fillId="0" borderId="90" xfId="0" quotePrefix="1" applyFont="1" applyBorder="1" applyAlignment="1" applyProtection="1">
      <alignment horizontal="center" vertical="center" wrapText="1"/>
      <protection locked="0"/>
    </xf>
    <xf numFmtId="0" fontId="6" fillId="0" borderId="58" xfId="0" applyFont="1" applyBorder="1" applyAlignment="1" applyProtection="1">
      <alignment horizontal="center" vertical="center" wrapText="1"/>
      <protection locked="0"/>
    </xf>
    <xf numFmtId="0" fontId="6" fillId="0" borderId="91" xfId="0" applyFont="1" applyBorder="1" applyAlignment="1" applyProtection="1">
      <alignment horizontal="center" vertical="center" wrapText="1"/>
      <protection locked="0"/>
    </xf>
    <xf numFmtId="0" fontId="3" fillId="0" borderId="3" xfId="0" quotePrefix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95" xfId="0" applyFont="1" applyBorder="1" applyAlignment="1" applyProtection="1">
      <alignment horizontal="center" vertical="center" wrapText="1"/>
      <protection locked="0"/>
    </xf>
    <xf numFmtId="0" fontId="6" fillId="0" borderId="3" xfId="0" quotePrefix="1" applyFont="1" applyBorder="1" applyAlignment="1">
      <alignment horizontal="center" vertical="center"/>
    </xf>
    <xf numFmtId="0" fontId="6" fillId="0" borderId="103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quotePrefix="1" applyFont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" fillId="0" borderId="100" xfId="0" applyFont="1" applyBorder="1" applyAlignment="1" applyProtection="1">
      <alignment horizontal="center"/>
      <protection locked="0"/>
    </xf>
    <xf numFmtId="0" fontId="6" fillId="0" borderId="101" xfId="0" applyFont="1" applyBorder="1" applyAlignment="1" applyProtection="1">
      <alignment horizontal="center"/>
      <protection locked="0"/>
    </xf>
    <xf numFmtId="0" fontId="4" fillId="0" borderId="107" xfId="0" applyFont="1" applyBorder="1" applyProtection="1">
      <protection locked="0"/>
    </xf>
    <xf numFmtId="0" fontId="0" fillId="0" borderId="108" xfId="0" applyBorder="1" applyProtection="1">
      <protection locked="0"/>
    </xf>
    <xf numFmtId="0" fontId="18" fillId="0" borderId="28" xfId="0" quotePrefix="1" applyFont="1" applyBorder="1" applyAlignment="1">
      <alignment horizontal="left"/>
    </xf>
    <xf numFmtId="0" fontId="18" fillId="0" borderId="0" xfId="0" quotePrefix="1" applyFont="1" applyAlignment="1">
      <alignment horizontal="left"/>
    </xf>
    <xf numFmtId="0" fontId="5" fillId="0" borderId="92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4" fillId="0" borderId="94" xfId="0" quotePrefix="1" applyFont="1" applyBorder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58" xfId="0" quotePrefix="1" applyFont="1" applyBorder="1" applyAlignment="1">
      <alignment horizontal="center" vertical="center"/>
    </xf>
    <xf numFmtId="0" fontId="4" fillId="0" borderId="95" xfId="0" quotePrefix="1" applyFont="1" applyBorder="1" applyAlignment="1">
      <alignment horizontal="center" vertical="center"/>
    </xf>
    <xf numFmtId="0" fontId="4" fillId="0" borderId="91" xfId="0" quotePrefix="1" applyFont="1" applyBorder="1" applyAlignment="1">
      <alignment horizontal="center" vertical="center"/>
    </xf>
    <xf numFmtId="0" fontId="18" fillId="0" borderId="99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109" xfId="0" applyFont="1" applyBorder="1" applyAlignment="1">
      <alignment horizontal="left"/>
    </xf>
    <xf numFmtId="0" fontId="18" fillId="0" borderId="110" xfId="0" applyFont="1" applyBorder="1" applyAlignment="1">
      <alignment horizontal="left"/>
    </xf>
    <xf numFmtId="0" fontId="18" fillId="0" borderId="111" xfId="0" applyFont="1" applyBorder="1" applyAlignment="1">
      <alignment horizontal="left"/>
    </xf>
  </cellXfs>
  <cellStyles count="5">
    <cellStyle name="Currency" xfId="1" builtinId="4"/>
    <cellStyle name="Hyperlink" xfId="4" builtinId="8"/>
    <cellStyle name="Normal" xfId="0" builtinId="0"/>
    <cellStyle name="Percent" xfId="2" builtinId="5"/>
    <cellStyle name="Percent 2" xfId="3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watson\Documents\Documents\Budget%2025-26\FCW-%20Teacher%20and%20Staff%20%2025-26%20W%20Benefits.xlsx" TargetMode="External"/><Relationship Id="rId1" Type="http://schemas.openxmlformats.org/officeDocument/2006/relationships/externalLinkPath" Target="FCW-%20Teacher%20and%20Staff%20%2025-26%20W%20Benefi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aries 25-26"/>
    </sheetNames>
    <sheetDataSet>
      <sheetData sheetId="0">
        <row r="72">
          <cell r="L72">
            <v>189569.15490000002</v>
          </cell>
          <cell r="M72">
            <v>50468.552799999998</v>
          </cell>
          <cell r="N72">
            <v>482021.66710000002</v>
          </cell>
        </row>
        <row r="81">
          <cell r="F81">
            <v>56500</v>
          </cell>
        </row>
        <row r="82">
          <cell r="F82">
            <v>56500</v>
          </cell>
        </row>
        <row r="83">
          <cell r="F83">
            <v>65000</v>
          </cell>
        </row>
        <row r="84">
          <cell r="F84">
            <v>50000</v>
          </cell>
        </row>
        <row r="85">
          <cell r="H85">
            <v>140743.49250000002</v>
          </cell>
          <cell r="I85">
            <v>79399.62000000001</v>
          </cell>
          <cell r="J85">
            <v>463213.22300000006</v>
          </cell>
          <cell r="K85">
            <v>1977843.46</v>
          </cell>
          <cell r="Q85">
            <v>220767.06855860006</v>
          </cell>
          <cell r="S85">
            <v>51631.007969349987</v>
          </cell>
          <cell r="U85">
            <v>579616.79999999958</v>
          </cell>
          <cell r="W85">
            <v>24500</v>
          </cell>
          <cell r="Y85">
            <v>240748.14192100006</v>
          </cell>
          <cell r="AC85">
            <v>24840</v>
          </cell>
        </row>
        <row r="93">
          <cell r="O93">
            <v>111088</v>
          </cell>
        </row>
        <row r="94">
          <cell r="O94">
            <v>45600</v>
          </cell>
        </row>
        <row r="95">
          <cell r="O95">
            <v>9714.655999999999</v>
          </cell>
        </row>
        <row r="96">
          <cell r="O96">
            <v>2271.9760000000001</v>
          </cell>
        </row>
        <row r="97">
          <cell r="O97">
            <v>10968.160000000002</v>
          </cell>
        </row>
        <row r="98">
          <cell r="O98">
            <v>33120.959999999999</v>
          </cell>
        </row>
        <row r="99">
          <cell r="O99">
            <v>1440</v>
          </cell>
        </row>
        <row r="105">
          <cell r="P105">
            <v>8996.25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460@4521.57%20State%20Base,DFF,%20HB393,%20Pay%20Raises%20,%20Def%20Revenue" TargetMode="External"/><Relationship Id="rId1" Type="http://schemas.openxmlformats.org/officeDocument/2006/relationships/hyperlink" Target="mailto:460@8034.10Local%20Base%20Amount%20Include%202%25%20admin%20F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N186"/>
  <sheetViews>
    <sheetView showGridLines="0" tabSelected="1" defaultGridColor="0" view="pageBreakPreview" colorId="22" zoomScale="68" zoomScaleNormal="68" zoomScaleSheetLayoutView="68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N136" sqref="N136"/>
    </sheetView>
  </sheetViews>
  <sheetFormatPr defaultColWidth="11.44140625" defaultRowHeight="15"/>
  <cols>
    <col min="1" max="1" width="3.21875" style="4" customWidth="1"/>
    <col min="2" max="2" width="2" style="1" customWidth="1"/>
    <col min="3" max="3" width="2.5546875" style="1" customWidth="1"/>
    <col min="4" max="4" width="45.21875" style="1" customWidth="1"/>
    <col min="5" max="5" width="13" style="1" bestFit="1" customWidth="1"/>
    <col min="6" max="6" width="12.5546875" style="1" customWidth="1"/>
    <col min="7" max="7" width="13.6640625" style="1" customWidth="1"/>
    <col min="8" max="9" width="15" style="1" customWidth="1"/>
    <col min="10" max="11" width="12.21875" style="1" customWidth="1"/>
    <col min="12" max="12" width="8.77734375" style="1" customWidth="1"/>
    <col min="13" max="13" width="9.44140625" style="1" customWidth="1"/>
    <col min="14" max="14" width="54.77734375" style="1" customWidth="1"/>
    <col min="15" max="16384" width="11.44140625" style="1"/>
  </cols>
  <sheetData>
    <row r="1" spans="1:14" ht="21.95" customHeight="1">
      <c r="A1" s="311" t="s">
        <v>149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</row>
    <row r="2" spans="1:14" ht="19.899999999999999" customHeight="1">
      <c r="A2" s="311" t="s">
        <v>199</v>
      </c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</row>
    <row r="3" spans="1:14" ht="19.899999999999999" customHeight="1" thickBot="1">
      <c r="A3" s="311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  <c r="N3" s="312"/>
    </row>
    <row r="4" spans="1:14" ht="19.899999999999999" customHeight="1" thickTop="1" thickBot="1">
      <c r="B4" s="2"/>
      <c r="C4" s="2"/>
      <c r="D4" s="2"/>
      <c r="E4" s="2"/>
      <c r="F4" s="2"/>
      <c r="G4" s="2"/>
      <c r="H4" s="2"/>
      <c r="I4" s="2"/>
      <c r="N4" s="319" t="s">
        <v>209</v>
      </c>
    </row>
    <row r="5" spans="1:14" ht="20.25" customHeight="1" thickTop="1" thickBot="1">
      <c r="A5" s="3"/>
      <c r="C5" s="12" t="s">
        <v>0</v>
      </c>
      <c r="D5" s="317" t="s">
        <v>164</v>
      </c>
      <c r="H5" s="313" t="s">
        <v>99</v>
      </c>
      <c r="I5" s="314"/>
      <c r="N5" s="320"/>
    </row>
    <row r="6" spans="1:14" ht="21.75" customHeight="1" thickTop="1" thickBot="1">
      <c r="D6" s="318"/>
      <c r="H6" s="315"/>
      <c r="I6" s="316"/>
    </row>
    <row r="7" spans="1:14" ht="9.9499999999999993" customHeight="1" thickTop="1">
      <c r="A7" s="5"/>
      <c r="B7" s="326" t="s">
        <v>1</v>
      </c>
      <c r="C7" s="326"/>
      <c r="D7" s="327"/>
      <c r="E7" s="309" t="s">
        <v>2</v>
      </c>
      <c r="F7" s="307" t="s">
        <v>25</v>
      </c>
      <c r="G7" s="291"/>
      <c r="H7" s="290" t="s">
        <v>148</v>
      </c>
      <c r="I7" s="291"/>
    </row>
    <row r="8" spans="1:14" ht="9.9499999999999993" customHeight="1" thickBot="1">
      <c r="A8" s="6"/>
      <c r="B8" s="328"/>
      <c r="C8" s="328"/>
      <c r="D8" s="329"/>
      <c r="E8" s="310"/>
      <c r="F8" s="308"/>
      <c r="G8" s="293"/>
      <c r="H8" s="292"/>
      <c r="I8" s="293"/>
      <c r="J8" s="174"/>
    </row>
    <row r="9" spans="1:14" ht="16.5" customHeight="1" thickTop="1">
      <c r="A9" s="6"/>
      <c r="B9" s="328"/>
      <c r="C9" s="328"/>
      <c r="D9" s="329"/>
      <c r="E9" s="323" t="s">
        <v>98</v>
      </c>
      <c r="F9" s="298" t="s">
        <v>200</v>
      </c>
      <c r="G9" s="301" t="s">
        <v>201</v>
      </c>
      <c r="H9" s="298" t="s">
        <v>200</v>
      </c>
      <c r="I9" s="301" t="s">
        <v>201</v>
      </c>
      <c r="J9" s="298" t="s">
        <v>200</v>
      </c>
      <c r="K9" s="304" t="s">
        <v>202</v>
      </c>
      <c r="L9" s="287" t="s">
        <v>74</v>
      </c>
      <c r="M9" s="295" t="s">
        <v>97</v>
      </c>
      <c r="N9" s="287" t="s">
        <v>108</v>
      </c>
    </row>
    <row r="10" spans="1:14" ht="15" customHeight="1">
      <c r="A10" s="6"/>
      <c r="B10" s="328"/>
      <c r="C10" s="328"/>
      <c r="D10" s="329"/>
      <c r="E10" s="324"/>
      <c r="F10" s="299"/>
      <c r="G10" s="302"/>
      <c r="H10" s="299"/>
      <c r="I10" s="302"/>
      <c r="J10" s="299"/>
      <c r="K10" s="305"/>
      <c r="L10" s="288"/>
      <c r="M10" s="296"/>
      <c r="N10" s="288"/>
    </row>
    <row r="11" spans="1:14" ht="32.25" customHeight="1" thickBot="1">
      <c r="A11" s="33"/>
      <c r="B11" s="330"/>
      <c r="C11" s="330"/>
      <c r="D11" s="331"/>
      <c r="E11" s="325"/>
      <c r="F11" s="300"/>
      <c r="G11" s="303"/>
      <c r="H11" s="300"/>
      <c r="I11" s="303"/>
      <c r="J11" s="300"/>
      <c r="K11" s="306"/>
      <c r="L11" s="289"/>
      <c r="M11" s="297"/>
      <c r="N11" s="289"/>
    </row>
    <row r="12" spans="1:14" s="15" customFormat="1" ht="25.5" customHeight="1" thickTop="1">
      <c r="A12" s="53"/>
      <c r="B12" s="332" t="s">
        <v>95</v>
      </c>
      <c r="C12" s="333"/>
      <c r="D12" s="333"/>
      <c r="E12" s="172"/>
      <c r="F12" s="179"/>
      <c r="G12" s="178"/>
      <c r="H12" s="187"/>
      <c r="I12" s="178"/>
      <c r="J12" s="172"/>
      <c r="K12" s="172"/>
      <c r="L12" s="172"/>
      <c r="M12" s="172"/>
      <c r="N12" s="173"/>
    </row>
    <row r="13" spans="1:14" s="7" customFormat="1" ht="18" customHeight="1">
      <c r="A13" s="175">
        <v>1</v>
      </c>
      <c r="B13" s="135" t="s">
        <v>40</v>
      </c>
      <c r="C13" s="135"/>
      <c r="D13" s="135"/>
      <c r="E13" s="180"/>
      <c r="F13" s="152"/>
      <c r="G13" s="185"/>
      <c r="H13" s="186"/>
      <c r="I13" s="185"/>
      <c r="J13" s="181"/>
      <c r="K13" s="181"/>
      <c r="L13" s="182"/>
      <c r="M13" s="182"/>
      <c r="N13" s="136"/>
    </row>
    <row r="14" spans="1:14" s="7" customFormat="1" ht="14.25">
      <c r="A14" s="54">
        <v>2</v>
      </c>
      <c r="B14" s="106"/>
      <c r="C14" s="107" t="s">
        <v>39</v>
      </c>
      <c r="D14" s="107"/>
      <c r="E14" s="108" t="s">
        <v>128</v>
      </c>
      <c r="F14" s="269">
        <v>34194.69</v>
      </c>
      <c r="G14" s="270">
        <f>105000</f>
        <v>105000</v>
      </c>
      <c r="H14" s="188"/>
      <c r="I14" s="109"/>
      <c r="J14" s="110">
        <f>H14+F14</f>
        <v>34194.69</v>
      </c>
      <c r="K14" s="110">
        <f t="shared" ref="J14:K19" si="0">I14+G14</f>
        <v>105000</v>
      </c>
      <c r="L14" s="111">
        <f t="shared" ref="L14:L23" si="1">K14/$K$83</f>
        <v>1.422835909267082E-2</v>
      </c>
      <c r="M14" s="111">
        <f t="shared" ref="M14:M20" si="2">J14/K14</f>
        <v>0.32566371428571433</v>
      </c>
      <c r="N14" s="273" t="s">
        <v>176</v>
      </c>
    </row>
    <row r="15" spans="1:14" s="7" customFormat="1" ht="14.25">
      <c r="A15" s="54">
        <v>3</v>
      </c>
      <c r="B15" s="34"/>
      <c r="C15" s="35" t="s">
        <v>114</v>
      </c>
      <c r="D15" s="35"/>
      <c r="E15" s="66" t="s">
        <v>129</v>
      </c>
      <c r="F15" s="84"/>
      <c r="G15" s="80"/>
      <c r="H15" s="189"/>
      <c r="I15" s="271"/>
      <c r="J15" s="67">
        <f t="shared" si="0"/>
        <v>0</v>
      </c>
      <c r="K15" s="67">
        <f t="shared" si="0"/>
        <v>0</v>
      </c>
      <c r="L15" s="68">
        <f t="shared" si="1"/>
        <v>0</v>
      </c>
      <c r="M15" s="68" t="e">
        <f t="shared" si="2"/>
        <v>#DIV/0!</v>
      </c>
      <c r="N15" s="273"/>
    </row>
    <row r="16" spans="1:14" s="7" customFormat="1" ht="14.25">
      <c r="A16" s="54">
        <v>4</v>
      </c>
      <c r="B16" s="34"/>
      <c r="C16" s="35" t="s">
        <v>41</v>
      </c>
      <c r="D16" s="35"/>
      <c r="E16" s="66">
        <v>1920</v>
      </c>
      <c r="F16" s="267"/>
      <c r="G16" s="271"/>
      <c r="H16" s="189"/>
      <c r="I16" s="79"/>
      <c r="J16" s="67">
        <f t="shared" si="0"/>
        <v>0</v>
      </c>
      <c r="K16" s="67">
        <f t="shared" si="0"/>
        <v>0</v>
      </c>
      <c r="L16" s="68">
        <f t="shared" si="1"/>
        <v>0</v>
      </c>
      <c r="M16" s="68" t="e">
        <f t="shared" si="2"/>
        <v>#DIV/0!</v>
      </c>
      <c r="N16" s="273"/>
    </row>
    <row r="17" spans="1:14" s="7" customFormat="1">
      <c r="A17" s="54">
        <v>5</v>
      </c>
      <c r="B17" s="34"/>
      <c r="C17" s="35" t="s">
        <v>115</v>
      </c>
      <c r="D17" s="35"/>
      <c r="E17" s="66">
        <v>1993</v>
      </c>
      <c r="F17" s="83"/>
      <c r="G17" s="79"/>
      <c r="H17" s="189"/>
      <c r="I17" s="79"/>
      <c r="J17" s="67">
        <f>H17+F17</f>
        <v>0</v>
      </c>
      <c r="K17" s="67">
        <f>I17+G17</f>
        <v>0</v>
      </c>
      <c r="L17" s="68">
        <f t="shared" si="1"/>
        <v>0</v>
      </c>
      <c r="M17" s="68" t="e">
        <f>J17/K17</f>
        <v>#DIV/0!</v>
      </c>
      <c r="N17" s="281"/>
    </row>
    <row r="18" spans="1:14" s="7" customFormat="1">
      <c r="A18" s="54">
        <v>6</v>
      </c>
      <c r="B18" s="34"/>
      <c r="C18" s="35" t="s">
        <v>150</v>
      </c>
      <c r="D18" s="35"/>
      <c r="E18" s="66">
        <v>1994</v>
      </c>
      <c r="F18" s="267">
        <f>4143528.26</f>
        <v>4143528.26</v>
      </c>
      <c r="G18" s="271">
        <f>460*8034.1</f>
        <v>3695686</v>
      </c>
      <c r="H18" s="83"/>
      <c r="I18" s="79"/>
      <c r="J18" s="67">
        <f t="shared" si="0"/>
        <v>4143528.26</v>
      </c>
      <c r="K18" s="67">
        <f t="shared" si="0"/>
        <v>3695686</v>
      </c>
      <c r="L18" s="68">
        <f t="shared" si="1"/>
        <v>0.50079569049291672</v>
      </c>
      <c r="M18" s="68">
        <f t="shared" si="2"/>
        <v>1.1211797376725186</v>
      </c>
      <c r="N18" s="281" t="s">
        <v>208</v>
      </c>
    </row>
    <row r="19" spans="1:14" s="7" customFormat="1" ht="14.25">
      <c r="A19" s="54">
        <v>7</v>
      </c>
      <c r="B19" s="34"/>
      <c r="C19" s="35" t="s">
        <v>127</v>
      </c>
      <c r="D19" s="35"/>
      <c r="E19" s="66" t="s">
        <v>107</v>
      </c>
      <c r="F19" s="267">
        <f>23930.47</f>
        <v>23930.47</v>
      </c>
      <c r="G19" s="271"/>
      <c r="H19" s="189">
        <f>900+5000</f>
        <v>5900</v>
      </c>
      <c r="I19" s="79">
        <v>0</v>
      </c>
      <c r="J19" s="67">
        <f t="shared" si="0"/>
        <v>29830.47</v>
      </c>
      <c r="K19" s="67">
        <f t="shared" si="0"/>
        <v>0</v>
      </c>
      <c r="L19" s="68">
        <f t="shared" si="1"/>
        <v>0</v>
      </c>
      <c r="M19" s="68" t="e">
        <f t="shared" si="2"/>
        <v>#DIV/0!</v>
      </c>
      <c r="N19" s="273"/>
    </row>
    <row r="20" spans="1:14" s="7" customFormat="1" ht="14.25">
      <c r="A20" s="54">
        <v>8</v>
      </c>
      <c r="B20" s="38"/>
      <c r="C20" s="272"/>
      <c r="D20" s="39" t="s">
        <v>163</v>
      </c>
      <c r="E20" s="39"/>
      <c r="F20" s="267">
        <f>50810+900</f>
        <v>51710</v>
      </c>
      <c r="G20" s="271"/>
      <c r="H20" s="189"/>
      <c r="I20" s="79"/>
      <c r="J20" s="67">
        <f>H20+F20</f>
        <v>51710</v>
      </c>
      <c r="K20" s="67">
        <f>I20+G20</f>
        <v>0</v>
      </c>
      <c r="L20" s="68">
        <f t="shared" si="1"/>
        <v>0</v>
      </c>
      <c r="M20" s="68" t="e">
        <f t="shared" si="2"/>
        <v>#DIV/0!</v>
      </c>
      <c r="N20" s="274"/>
    </row>
    <row r="21" spans="1:14" s="8" customFormat="1" ht="12.75">
      <c r="A21" s="54">
        <v>9</v>
      </c>
      <c r="B21" s="36"/>
      <c r="C21" s="37" t="s">
        <v>73</v>
      </c>
      <c r="D21" s="37"/>
      <c r="E21" s="69"/>
      <c r="F21" s="85"/>
      <c r="G21" s="81"/>
      <c r="H21" s="190"/>
      <c r="I21" s="81"/>
      <c r="J21" s="67">
        <f t="shared" ref="J21:K41" si="3">H21+F21</f>
        <v>0</v>
      </c>
      <c r="K21" s="67">
        <f t="shared" si="3"/>
        <v>0</v>
      </c>
      <c r="L21" s="68">
        <f t="shared" si="1"/>
        <v>0</v>
      </c>
      <c r="M21" s="68" t="e">
        <f>J21/K21</f>
        <v>#DIV/0!</v>
      </c>
      <c r="N21" s="274"/>
    </row>
    <row r="22" spans="1:14" s="7" customFormat="1" ht="14.25">
      <c r="A22" s="54">
        <v>10</v>
      </c>
      <c r="B22" s="38"/>
      <c r="C22" s="39"/>
      <c r="D22" s="39"/>
      <c r="E22" s="70"/>
      <c r="F22" s="83"/>
      <c r="G22" s="79"/>
      <c r="H22" s="189"/>
      <c r="I22" s="79"/>
      <c r="J22" s="71">
        <f t="shared" si="3"/>
        <v>0</v>
      </c>
      <c r="K22" s="71">
        <f t="shared" si="3"/>
        <v>0</v>
      </c>
      <c r="L22" s="72">
        <f t="shared" si="1"/>
        <v>0</v>
      </c>
      <c r="M22" s="72" t="e">
        <f>J22/K22</f>
        <v>#DIV/0!</v>
      </c>
      <c r="N22" s="274"/>
    </row>
    <row r="23" spans="1:14" s="7" customFormat="1" ht="18" customHeight="1">
      <c r="A23" s="164">
        <v>11</v>
      </c>
      <c r="B23" s="40" t="s">
        <v>43</v>
      </c>
      <c r="C23" s="41"/>
      <c r="D23" s="41"/>
      <c r="E23" s="73"/>
      <c r="F23" s="86">
        <f>SUM(F9:F22)</f>
        <v>4253363.42</v>
      </c>
      <c r="G23" s="82">
        <f>SUM(G9:G22)</f>
        <v>3800686</v>
      </c>
      <c r="H23" s="191">
        <f>SUM(H9:H22)</f>
        <v>5900</v>
      </c>
      <c r="I23" s="82">
        <f>SUM(I9:I22)</f>
        <v>0</v>
      </c>
      <c r="J23" s="74">
        <f>H23+F23</f>
        <v>4259263.42</v>
      </c>
      <c r="K23" s="74">
        <f>I23+G23</f>
        <v>3800686</v>
      </c>
      <c r="L23" s="75">
        <f t="shared" si="1"/>
        <v>0.51502404958558756</v>
      </c>
      <c r="M23" s="75">
        <f>J23/K23</f>
        <v>1.1206564867500235</v>
      </c>
      <c r="N23" s="64"/>
    </row>
    <row r="24" spans="1:14" s="7" customFormat="1" ht="14.25">
      <c r="A24" s="54">
        <v>12</v>
      </c>
      <c r="B24" s="128"/>
      <c r="C24" s="129"/>
      <c r="D24" s="129"/>
      <c r="E24" s="130"/>
      <c r="F24" s="131"/>
      <c r="G24" s="132"/>
      <c r="H24" s="192"/>
      <c r="I24" s="132"/>
      <c r="J24" s="133"/>
      <c r="K24" s="133"/>
      <c r="L24" s="133"/>
      <c r="M24" s="133"/>
      <c r="N24" s="134"/>
    </row>
    <row r="25" spans="1:14" s="7" customFormat="1" ht="18" customHeight="1">
      <c r="A25" s="175">
        <v>13</v>
      </c>
      <c r="B25" s="135" t="s">
        <v>44</v>
      </c>
      <c r="C25" s="135"/>
      <c r="D25" s="135"/>
      <c r="E25" s="184"/>
      <c r="F25" s="153"/>
      <c r="G25" s="149"/>
      <c r="H25" s="153"/>
      <c r="I25" s="149"/>
      <c r="J25" s="67"/>
      <c r="K25" s="67"/>
      <c r="L25" s="67"/>
      <c r="M25" s="67"/>
      <c r="N25" s="137"/>
    </row>
    <row r="26" spans="1:14" s="7" customFormat="1" ht="14.25">
      <c r="A26" s="54">
        <v>14</v>
      </c>
      <c r="B26" s="106"/>
      <c r="C26" s="107" t="s">
        <v>45</v>
      </c>
      <c r="D26" s="107"/>
      <c r="E26" s="113"/>
      <c r="F26" s="114"/>
      <c r="G26" s="115"/>
      <c r="H26" s="246"/>
      <c r="I26" s="247"/>
      <c r="J26" s="183"/>
      <c r="K26" s="110"/>
      <c r="L26" s="110"/>
      <c r="M26" s="110"/>
      <c r="N26" s="116"/>
    </row>
    <row r="27" spans="1:14" s="7" customFormat="1">
      <c r="A27" s="54">
        <v>15</v>
      </c>
      <c r="B27" s="34"/>
      <c r="C27" s="35"/>
      <c r="D27" s="42" t="s">
        <v>46</v>
      </c>
      <c r="E27" s="66">
        <v>3110</v>
      </c>
      <c r="F27" s="267">
        <f>1964932.79</f>
        <v>1964932.79</v>
      </c>
      <c r="G27" s="271">
        <f>460*4521.57+290176</f>
        <v>2370098.2000000002</v>
      </c>
      <c r="H27" s="248"/>
      <c r="I27" s="282"/>
      <c r="J27" s="149">
        <f>H27+F27</f>
        <v>1964932.79</v>
      </c>
      <c r="K27" s="67">
        <f t="shared" si="3"/>
        <v>2370098.2000000002</v>
      </c>
      <c r="L27" s="68">
        <f>K27/$K$83</f>
        <v>0.32116769785231186</v>
      </c>
      <c r="M27" s="68">
        <f>J27/K27</f>
        <v>0.82905121399611204</v>
      </c>
      <c r="N27" s="281" t="s">
        <v>210</v>
      </c>
    </row>
    <row r="28" spans="1:14" s="7" customFormat="1" ht="14.25">
      <c r="A28" s="54">
        <v>16</v>
      </c>
      <c r="B28" s="34"/>
      <c r="C28" s="35"/>
      <c r="D28" s="42"/>
      <c r="E28" s="66"/>
      <c r="F28" s="83"/>
      <c r="G28" s="79"/>
      <c r="H28" s="248"/>
      <c r="I28" s="249"/>
      <c r="J28" s="149"/>
      <c r="K28" s="67"/>
      <c r="L28" s="68"/>
      <c r="M28" s="68"/>
      <c r="N28" s="274"/>
    </row>
    <row r="29" spans="1:14" s="7" customFormat="1" ht="14.25">
      <c r="A29" s="54">
        <v>17</v>
      </c>
      <c r="B29" s="34"/>
      <c r="C29" s="35"/>
      <c r="D29" s="35" t="s">
        <v>47</v>
      </c>
      <c r="E29" s="66">
        <v>3190</v>
      </c>
      <c r="F29" s="83"/>
      <c r="G29" s="271"/>
      <c r="H29" s="189"/>
      <c r="I29" s="79"/>
      <c r="J29" s="67">
        <f t="shared" si="3"/>
        <v>0</v>
      </c>
      <c r="K29" s="67">
        <f t="shared" si="3"/>
        <v>0</v>
      </c>
      <c r="L29" s="68">
        <f t="shared" ref="L29:L41" si="4">K29/$K$83</f>
        <v>0</v>
      </c>
      <c r="M29" s="68" t="e">
        <f>J29/K29</f>
        <v>#DIV/0!</v>
      </c>
      <c r="N29" s="274"/>
    </row>
    <row r="30" spans="1:14" s="7" customFormat="1" ht="14.25">
      <c r="A30" s="54">
        <v>18</v>
      </c>
      <c r="B30" s="34"/>
      <c r="C30" s="35" t="s">
        <v>48</v>
      </c>
      <c r="D30" s="35"/>
      <c r="E30" s="76"/>
      <c r="F30" s="88"/>
      <c r="G30" s="87"/>
      <c r="H30" s="84"/>
      <c r="I30" s="80"/>
      <c r="J30" s="67">
        <f>H30+F30</f>
        <v>0</v>
      </c>
      <c r="K30" s="67">
        <f>I30+G30</f>
        <v>0</v>
      </c>
      <c r="L30" s="68">
        <f t="shared" si="4"/>
        <v>0</v>
      </c>
      <c r="M30" s="68" t="e">
        <f>J30/K30</f>
        <v>#DIV/0!</v>
      </c>
      <c r="N30" s="65"/>
    </row>
    <row r="31" spans="1:14" s="7" customFormat="1" ht="14.25">
      <c r="A31" s="54">
        <v>19</v>
      </c>
      <c r="B31" s="34"/>
      <c r="C31" s="35"/>
      <c r="D31" s="35" t="s">
        <v>49</v>
      </c>
      <c r="E31" s="66">
        <v>3220</v>
      </c>
      <c r="F31" s="83"/>
      <c r="G31" s="79"/>
      <c r="H31" s="275"/>
      <c r="I31" s="271"/>
      <c r="J31" s="67">
        <f t="shared" si="3"/>
        <v>0</v>
      </c>
      <c r="K31" s="67">
        <f t="shared" si="3"/>
        <v>0</v>
      </c>
      <c r="L31" s="68">
        <f t="shared" si="4"/>
        <v>0</v>
      </c>
      <c r="M31" s="68" t="e">
        <f t="shared" ref="M31:M41" si="5">J31/K31</f>
        <v>#DIV/0!</v>
      </c>
      <c r="N31" s="274"/>
    </row>
    <row r="32" spans="1:14" s="7" customFormat="1" ht="14.25">
      <c r="A32" s="54">
        <v>20</v>
      </c>
      <c r="B32" s="34"/>
      <c r="C32" s="35"/>
      <c r="D32" s="35" t="s">
        <v>50</v>
      </c>
      <c r="E32" s="66">
        <v>3230</v>
      </c>
      <c r="F32" s="83"/>
      <c r="G32" s="79"/>
      <c r="H32" s="189"/>
      <c r="I32" s="79"/>
      <c r="J32" s="67">
        <f t="shared" si="3"/>
        <v>0</v>
      </c>
      <c r="K32" s="67">
        <f t="shared" si="3"/>
        <v>0</v>
      </c>
      <c r="L32" s="68">
        <f t="shared" si="4"/>
        <v>0</v>
      </c>
      <c r="M32" s="68" t="e">
        <f t="shared" si="5"/>
        <v>#DIV/0!</v>
      </c>
      <c r="N32" s="274"/>
    </row>
    <row r="33" spans="1:14" s="7" customFormat="1" ht="14.25">
      <c r="A33" s="54">
        <v>21</v>
      </c>
      <c r="B33" s="34"/>
      <c r="C33" s="35"/>
      <c r="D33" s="35" t="s">
        <v>100</v>
      </c>
      <c r="E33" s="66">
        <v>3290</v>
      </c>
      <c r="F33" s="83"/>
      <c r="G33" s="79"/>
      <c r="H33" s="189">
        <f>136977</f>
        <v>136977</v>
      </c>
      <c r="I33" s="79"/>
      <c r="J33" s="67">
        <f t="shared" si="3"/>
        <v>136977</v>
      </c>
      <c r="K33" s="67">
        <f t="shared" si="3"/>
        <v>0</v>
      </c>
      <c r="L33" s="68">
        <f t="shared" si="4"/>
        <v>0</v>
      </c>
      <c r="M33" s="68" t="e">
        <f t="shared" si="5"/>
        <v>#DIV/0!</v>
      </c>
      <c r="N33" s="274" t="s">
        <v>198</v>
      </c>
    </row>
    <row r="34" spans="1:14" s="7" customFormat="1" ht="14.25">
      <c r="A34" s="54">
        <v>22</v>
      </c>
      <c r="B34" s="34"/>
      <c r="C34" s="35"/>
      <c r="D34" s="35" t="s">
        <v>123</v>
      </c>
      <c r="E34" s="66">
        <v>3290</v>
      </c>
      <c r="F34" s="83">
        <f>26784</f>
        <v>26784</v>
      </c>
      <c r="G34" s="79"/>
      <c r="H34" s="275">
        <f>220821.13</f>
        <v>220821.13</v>
      </c>
      <c r="I34" s="271">
        <v>223200</v>
      </c>
      <c r="J34" s="67">
        <f t="shared" si="3"/>
        <v>247605.13</v>
      </c>
      <c r="K34" s="67">
        <f t="shared" si="3"/>
        <v>223200</v>
      </c>
      <c r="L34" s="68">
        <f t="shared" si="4"/>
        <v>3.0245426185563116E-2</v>
      </c>
      <c r="M34" s="68">
        <f>J34/K34</f>
        <v>1.1093419802867384</v>
      </c>
      <c r="N34" s="274" t="s">
        <v>196</v>
      </c>
    </row>
    <row r="35" spans="1:14" s="7" customFormat="1" ht="14.25">
      <c r="A35" s="54">
        <v>23</v>
      </c>
      <c r="B35" s="34"/>
      <c r="C35" s="35"/>
      <c r="D35" s="35" t="s">
        <v>152</v>
      </c>
      <c r="E35" s="66">
        <v>3290</v>
      </c>
      <c r="F35" s="83"/>
      <c r="G35" s="79"/>
      <c r="H35" s="189"/>
      <c r="I35" s="79"/>
      <c r="J35" s="67">
        <f t="shared" si="3"/>
        <v>0</v>
      </c>
      <c r="K35" s="67">
        <f t="shared" si="3"/>
        <v>0</v>
      </c>
      <c r="L35" s="68">
        <f t="shared" si="4"/>
        <v>0</v>
      </c>
      <c r="M35" s="68" t="e">
        <f>J35/K35</f>
        <v>#DIV/0!</v>
      </c>
      <c r="N35" s="63"/>
    </row>
    <row r="36" spans="1:14" s="7" customFormat="1" ht="14.25">
      <c r="A36" s="54">
        <v>24</v>
      </c>
      <c r="B36" s="38"/>
      <c r="C36" s="39"/>
      <c r="D36" s="39"/>
      <c r="E36" s="66"/>
      <c r="F36" s="83"/>
      <c r="G36" s="79"/>
      <c r="H36" s="189"/>
      <c r="I36" s="79"/>
      <c r="J36" s="67">
        <f>H36+F36</f>
        <v>0</v>
      </c>
      <c r="K36" s="67">
        <f>I36+G36</f>
        <v>0</v>
      </c>
      <c r="L36" s="68">
        <f t="shared" si="4"/>
        <v>0</v>
      </c>
      <c r="M36" s="68" t="e">
        <f>J36/K36</f>
        <v>#DIV/0!</v>
      </c>
      <c r="N36" s="63"/>
    </row>
    <row r="37" spans="1:14" s="7" customFormat="1" ht="14.25">
      <c r="A37" s="54">
        <v>25</v>
      </c>
      <c r="B37" s="38"/>
      <c r="C37" s="39"/>
      <c r="D37" s="39"/>
      <c r="E37" s="66"/>
      <c r="F37" s="83"/>
      <c r="G37" s="79"/>
      <c r="H37" s="189"/>
      <c r="I37" s="79"/>
      <c r="J37" s="67">
        <f>H37+F37</f>
        <v>0</v>
      </c>
      <c r="K37" s="67">
        <f>I37+G37</f>
        <v>0</v>
      </c>
      <c r="L37" s="68">
        <f t="shared" si="4"/>
        <v>0</v>
      </c>
      <c r="M37" s="68" t="e">
        <f>J37/K37</f>
        <v>#DIV/0!</v>
      </c>
      <c r="N37" s="274"/>
    </row>
    <row r="38" spans="1:14" s="7" customFormat="1" ht="14.25">
      <c r="A38" s="54">
        <v>26</v>
      </c>
      <c r="B38" s="38"/>
      <c r="C38" s="39"/>
      <c r="D38" s="39"/>
      <c r="E38" s="66"/>
      <c r="F38" s="83"/>
      <c r="G38" s="79"/>
      <c r="H38" s="189"/>
      <c r="I38" s="79"/>
      <c r="J38" s="67">
        <f t="shared" si="3"/>
        <v>0</v>
      </c>
      <c r="K38" s="67">
        <f t="shared" si="3"/>
        <v>0</v>
      </c>
      <c r="L38" s="68">
        <f t="shared" si="4"/>
        <v>0</v>
      </c>
      <c r="M38" s="68" t="e">
        <f t="shared" si="5"/>
        <v>#DIV/0!</v>
      </c>
      <c r="N38" s="63"/>
    </row>
    <row r="39" spans="1:14" s="8" customFormat="1" ht="12.75">
      <c r="A39" s="54">
        <v>27</v>
      </c>
      <c r="B39" s="36"/>
      <c r="C39" s="37" t="s">
        <v>73</v>
      </c>
      <c r="D39" s="37"/>
      <c r="E39" s="77"/>
      <c r="F39" s="85"/>
      <c r="G39" s="81"/>
      <c r="H39" s="190"/>
      <c r="I39" s="81"/>
      <c r="J39" s="67">
        <f t="shared" si="3"/>
        <v>0</v>
      </c>
      <c r="K39" s="67">
        <f t="shared" si="3"/>
        <v>0</v>
      </c>
      <c r="L39" s="68">
        <f t="shared" si="4"/>
        <v>0</v>
      </c>
      <c r="M39" s="68" t="e">
        <f t="shared" si="5"/>
        <v>#DIV/0!</v>
      </c>
      <c r="N39" s="63"/>
    </row>
    <row r="40" spans="1:14" s="7" customFormat="1" ht="14.25">
      <c r="A40" s="54">
        <v>28</v>
      </c>
      <c r="B40" s="38"/>
      <c r="C40" s="39"/>
      <c r="D40" s="39" t="s">
        <v>205</v>
      </c>
      <c r="E40" s="78"/>
      <c r="F40" s="83"/>
      <c r="G40" s="79"/>
      <c r="H40" s="189">
        <v>36683</v>
      </c>
      <c r="I40" s="79"/>
      <c r="J40" s="71">
        <f t="shared" si="3"/>
        <v>36683</v>
      </c>
      <c r="K40" s="71">
        <f t="shared" si="3"/>
        <v>0</v>
      </c>
      <c r="L40" s="72">
        <f t="shared" si="4"/>
        <v>0</v>
      </c>
      <c r="M40" s="72" t="e">
        <f t="shared" si="5"/>
        <v>#DIV/0!</v>
      </c>
      <c r="N40" s="274"/>
    </row>
    <row r="41" spans="1:14" s="7" customFormat="1" ht="18" customHeight="1" thickBot="1">
      <c r="A41" s="165">
        <v>29</v>
      </c>
      <c r="B41" s="166" t="s">
        <v>51</v>
      </c>
      <c r="C41" s="167"/>
      <c r="D41" s="167"/>
      <c r="E41" s="168"/>
      <c r="F41" s="169">
        <f>SUM(F27:F40)</f>
        <v>1991716.79</v>
      </c>
      <c r="G41" s="170">
        <f>SUM(G27:G40)</f>
        <v>2370098.2000000002</v>
      </c>
      <c r="H41" s="193">
        <f>SUM(H27:H40)</f>
        <v>394481.13</v>
      </c>
      <c r="I41" s="170">
        <f>SUM(I27:I40)</f>
        <v>223200</v>
      </c>
      <c r="J41" s="159">
        <f t="shared" si="3"/>
        <v>2386197.92</v>
      </c>
      <c r="K41" s="159">
        <f t="shared" si="3"/>
        <v>2593298.2000000002</v>
      </c>
      <c r="L41" s="171">
        <f t="shared" si="4"/>
        <v>0.351413124037875</v>
      </c>
      <c r="M41" s="171">
        <f t="shared" si="5"/>
        <v>0.92014019830037275</v>
      </c>
      <c r="N41" s="161"/>
    </row>
    <row r="42" spans="1:14" s="7" customFormat="1" thickTop="1">
      <c r="A42" s="11"/>
      <c r="E42" s="9"/>
      <c r="K42" s="31"/>
      <c r="L42" s="10"/>
      <c r="M42" s="10"/>
      <c r="N42" s="10"/>
    </row>
    <row r="43" spans="1:14" s="7" customFormat="1" ht="14.25">
      <c r="A43" s="11"/>
      <c r="E43" s="9"/>
      <c r="K43" s="31"/>
      <c r="L43" s="10"/>
      <c r="M43" s="10"/>
      <c r="N43" s="10"/>
    </row>
    <row r="44" spans="1:14" s="7" customFormat="1" ht="14.25">
      <c r="A44" s="11"/>
      <c r="E44" s="9"/>
      <c r="K44" s="31"/>
      <c r="L44" s="10"/>
      <c r="M44" s="10"/>
      <c r="N44" s="10"/>
    </row>
    <row r="45" spans="1:14" s="7" customFormat="1" ht="46.5" customHeight="1">
      <c r="A45" s="294" t="s">
        <v>160</v>
      </c>
      <c r="B45" s="294"/>
      <c r="C45" s="294"/>
      <c r="D45" s="294"/>
      <c r="E45" s="294"/>
      <c r="F45" s="294"/>
      <c r="G45" s="294"/>
      <c r="H45" s="294"/>
      <c r="I45" s="294"/>
      <c r="J45" s="294"/>
      <c r="K45" s="294"/>
      <c r="L45" s="294"/>
      <c r="M45" s="294"/>
      <c r="N45" s="294"/>
    </row>
    <row r="46" spans="1:14" s="7" customFormat="1">
      <c r="A46" s="11"/>
      <c r="E46" s="9"/>
      <c r="J46"/>
      <c r="K46" s="31"/>
      <c r="L46" s="10"/>
      <c r="M46" s="10"/>
      <c r="N46" s="10"/>
    </row>
    <row r="47" spans="1:14" s="7" customFormat="1" ht="18" customHeight="1">
      <c r="A47" s="176">
        <v>30</v>
      </c>
      <c r="B47" s="135" t="s">
        <v>52</v>
      </c>
      <c r="C47" s="135"/>
      <c r="D47" s="135"/>
      <c r="E47" s="184"/>
      <c r="F47" s="186"/>
      <c r="G47" s="185"/>
      <c r="H47" s="186"/>
      <c r="I47" s="185"/>
      <c r="J47" s="181"/>
      <c r="K47" s="181"/>
      <c r="L47" s="90"/>
      <c r="M47" s="90"/>
      <c r="N47" s="138"/>
    </row>
    <row r="48" spans="1:14" s="7" customFormat="1" ht="14.25">
      <c r="A48" s="55">
        <v>31</v>
      </c>
      <c r="B48" s="107"/>
      <c r="C48" s="107" t="s">
        <v>53</v>
      </c>
      <c r="D48" s="107"/>
      <c r="E48" s="113"/>
      <c r="F48" s="150"/>
      <c r="G48" s="146"/>
      <c r="H48" s="150"/>
      <c r="I48" s="146"/>
      <c r="J48" s="117"/>
      <c r="K48" s="117"/>
      <c r="L48" s="118"/>
      <c r="M48" s="118"/>
      <c r="N48" s="119"/>
    </row>
    <row r="49" spans="1:14" s="7" customFormat="1" ht="14.25">
      <c r="A49" s="55">
        <v>32</v>
      </c>
      <c r="B49" s="35"/>
      <c r="C49" s="35"/>
      <c r="D49" s="35" t="s">
        <v>116</v>
      </c>
      <c r="E49" s="66">
        <v>4110</v>
      </c>
      <c r="F49" s="83"/>
      <c r="G49" s="79"/>
      <c r="H49" s="83"/>
      <c r="I49" s="79"/>
      <c r="J49" s="67">
        <f t="shared" ref="J49:K82" si="6">H49+F49</f>
        <v>0</v>
      </c>
      <c r="K49" s="67">
        <f t="shared" si="6"/>
        <v>0</v>
      </c>
      <c r="L49" s="90">
        <f t="shared" ref="L49:L78" si="7">K49/$K$83</f>
        <v>0</v>
      </c>
      <c r="M49" s="90" t="e">
        <f t="shared" ref="M49:M115" si="8">J49/K49</f>
        <v>#DIV/0!</v>
      </c>
      <c r="N49" s="274"/>
    </row>
    <row r="50" spans="1:14" s="7" customFormat="1" ht="14.25">
      <c r="A50" s="55">
        <v>33</v>
      </c>
      <c r="B50" s="35"/>
      <c r="C50" s="35"/>
      <c r="D50" s="35" t="s">
        <v>130</v>
      </c>
      <c r="E50" s="66">
        <v>4190</v>
      </c>
      <c r="F50" s="151"/>
      <c r="G50" s="147"/>
      <c r="H50" s="83"/>
      <c r="I50" s="79"/>
      <c r="J50" s="67">
        <f t="shared" ref="J50:K52" si="9">H50+F50</f>
        <v>0</v>
      </c>
      <c r="K50" s="67">
        <f t="shared" si="9"/>
        <v>0</v>
      </c>
      <c r="L50" s="90">
        <f t="shared" si="7"/>
        <v>0</v>
      </c>
      <c r="M50" s="90" t="e">
        <f>J50/K50</f>
        <v>#DIV/0!</v>
      </c>
      <c r="N50" s="63"/>
    </row>
    <row r="51" spans="1:14" s="7" customFormat="1" ht="14.25">
      <c r="A51" s="55">
        <v>34</v>
      </c>
      <c r="B51" s="35"/>
      <c r="C51" s="35" t="s">
        <v>54</v>
      </c>
      <c r="D51" s="35"/>
      <c r="E51" s="76"/>
      <c r="F51" s="88"/>
      <c r="G51" s="87"/>
      <c r="H51" s="84"/>
      <c r="I51" s="80"/>
      <c r="J51" s="67">
        <f t="shared" si="9"/>
        <v>0</v>
      </c>
      <c r="K51" s="67">
        <f t="shared" si="9"/>
        <v>0</v>
      </c>
      <c r="L51" s="90">
        <f t="shared" si="7"/>
        <v>0</v>
      </c>
      <c r="M51" s="90" t="e">
        <f>J51/K51</f>
        <v>#DIV/0!</v>
      </c>
      <c r="N51" s="89"/>
    </row>
    <row r="52" spans="1:14" s="7" customFormat="1" ht="14.25">
      <c r="A52" s="55">
        <v>35</v>
      </c>
      <c r="B52" s="35"/>
      <c r="C52" s="35"/>
      <c r="D52" s="35" t="s">
        <v>117</v>
      </c>
      <c r="E52" s="66">
        <v>4330</v>
      </c>
      <c r="F52" s="83"/>
      <c r="G52" s="79"/>
      <c r="H52" s="83"/>
      <c r="I52" s="79"/>
      <c r="J52" s="67">
        <f t="shared" si="9"/>
        <v>0</v>
      </c>
      <c r="K52" s="67">
        <f t="shared" si="9"/>
        <v>0</v>
      </c>
      <c r="L52" s="90">
        <f t="shared" si="7"/>
        <v>0</v>
      </c>
      <c r="M52" s="90" t="e">
        <f>J52/K52</f>
        <v>#DIV/0!</v>
      </c>
      <c r="N52" s="89"/>
    </row>
    <row r="53" spans="1:14" s="7" customFormat="1" ht="14.25">
      <c r="A53" s="55">
        <v>36</v>
      </c>
      <c r="B53" s="35"/>
      <c r="C53" s="35"/>
      <c r="D53" s="35" t="s">
        <v>55</v>
      </c>
      <c r="E53" s="66">
        <v>4390</v>
      </c>
      <c r="F53" s="152"/>
      <c r="G53" s="148"/>
      <c r="H53" s="83"/>
      <c r="I53" s="79"/>
      <c r="J53" s="67">
        <f t="shared" si="6"/>
        <v>0</v>
      </c>
      <c r="K53" s="67">
        <f t="shared" si="6"/>
        <v>0</v>
      </c>
      <c r="L53" s="90">
        <f t="shared" si="7"/>
        <v>0</v>
      </c>
      <c r="M53" s="90" t="e">
        <f t="shared" si="8"/>
        <v>#DIV/0!</v>
      </c>
      <c r="N53" s="63"/>
    </row>
    <row r="54" spans="1:14" s="7" customFormat="1" ht="14.25">
      <c r="A54" s="55">
        <v>37</v>
      </c>
      <c r="B54" s="35"/>
      <c r="C54" s="35"/>
      <c r="D54" s="35" t="s">
        <v>169</v>
      </c>
      <c r="E54" s="66"/>
      <c r="F54" s="83"/>
      <c r="G54" s="79"/>
      <c r="H54" s="83"/>
      <c r="I54" s="79"/>
      <c r="J54" s="67">
        <f t="shared" ref="J54:K56" si="10">H54+F54</f>
        <v>0</v>
      </c>
      <c r="K54" s="67">
        <f t="shared" si="10"/>
        <v>0</v>
      </c>
      <c r="L54" s="90">
        <f t="shared" si="7"/>
        <v>0</v>
      </c>
      <c r="M54" s="90" t="e">
        <f t="shared" si="8"/>
        <v>#DIV/0!</v>
      </c>
      <c r="N54" s="274" t="s">
        <v>203</v>
      </c>
    </row>
    <row r="55" spans="1:14" s="7" customFormat="1" ht="14.25">
      <c r="A55" s="55">
        <v>38</v>
      </c>
      <c r="B55" s="35" t="s">
        <v>56</v>
      </c>
      <c r="C55" s="35"/>
      <c r="D55" s="35"/>
      <c r="E55" s="76"/>
      <c r="F55" s="88"/>
      <c r="G55" s="87"/>
      <c r="H55" s="84"/>
      <c r="I55" s="80"/>
      <c r="J55" s="67">
        <f t="shared" si="10"/>
        <v>0</v>
      </c>
      <c r="K55" s="67">
        <f t="shared" si="10"/>
        <v>0</v>
      </c>
      <c r="L55" s="90">
        <f t="shared" si="7"/>
        <v>0</v>
      </c>
      <c r="M55" s="90" t="e">
        <f>J55/K55</f>
        <v>#DIV/0!</v>
      </c>
      <c r="N55" s="89"/>
    </row>
    <row r="56" spans="1:14" s="7" customFormat="1" ht="14.25">
      <c r="A56" s="55">
        <v>39</v>
      </c>
      <c r="B56" s="35"/>
      <c r="C56" s="35"/>
      <c r="D56" s="35" t="s">
        <v>118</v>
      </c>
      <c r="E56" s="66">
        <v>4510</v>
      </c>
      <c r="F56" s="153"/>
      <c r="G56" s="149"/>
      <c r="H56" s="83"/>
      <c r="I56" s="79"/>
      <c r="J56" s="67">
        <f t="shared" si="10"/>
        <v>0</v>
      </c>
      <c r="K56" s="67">
        <f t="shared" si="10"/>
        <v>0</v>
      </c>
      <c r="L56" s="90">
        <f t="shared" si="7"/>
        <v>0</v>
      </c>
      <c r="M56" s="90" t="e">
        <f>J56/K56</f>
        <v>#DIV/0!</v>
      </c>
      <c r="N56" s="63"/>
    </row>
    <row r="57" spans="1:14" s="7" customFormat="1" ht="14.25">
      <c r="A57" s="55">
        <v>40</v>
      </c>
      <c r="B57" s="35"/>
      <c r="C57" s="35"/>
      <c r="D57" s="35" t="s">
        <v>3</v>
      </c>
      <c r="E57" s="66">
        <v>4515</v>
      </c>
      <c r="F57" s="153"/>
      <c r="G57" s="149"/>
      <c r="H57" s="83">
        <f>533409.63+28950.12</f>
        <v>562359.75</v>
      </c>
      <c r="I57" s="271">
        <v>520331</v>
      </c>
      <c r="J57" s="67">
        <f t="shared" si="6"/>
        <v>562359.75</v>
      </c>
      <c r="K57" s="67">
        <f t="shared" si="6"/>
        <v>520331</v>
      </c>
      <c r="L57" s="90">
        <f t="shared" si="7"/>
        <v>7.0509107762366671E-2</v>
      </c>
      <c r="M57" s="90">
        <f t="shared" si="8"/>
        <v>1.0807731040433877</v>
      </c>
      <c r="N57" s="274" t="s">
        <v>204</v>
      </c>
    </row>
    <row r="58" spans="1:14" s="7" customFormat="1" ht="14.25">
      <c r="A58" s="55">
        <v>41</v>
      </c>
      <c r="B58" s="35"/>
      <c r="C58" s="35"/>
      <c r="D58" s="35" t="s">
        <v>4</v>
      </c>
      <c r="E58" s="76"/>
      <c r="F58" s="153"/>
      <c r="G58" s="149"/>
      <c r="H58" s="84"/>
      <c r="I58" s="80"/>
      <c r="J58" s="67">
        <f>H58+F58</f>
        <v>0</v>
      </c>
      <c r="K58" s="67">
        <f>I58+G58</f>
        <v>0</v>
      </c>
      <c r="L58" s="90">
        <f t="shared" si="7"/>
        <v>0</v>
      </c>
      <c r="M58" s="90" t="e">
        <f>J58/K58</f>
        <v>#DIV/0!</v>
      </c>
      <c r="N58" s="89"/>
    </row>
    <row r="59" spans="1:14" s="7" customFormat="1" ht="14.25">
      <c r="A59" s="55">
        <v>42</v>
      </c>
      <c r="B59" s="35"/>
      <c r="C59" s="35"/>
      <c r="D59" s="35" t="s">
        <v>57</v>
      </c>
      <c r="E59" s="66" t="s">
        <v>58</v>
      </c>
      <c r="F59" s="153"/>
      <c r="G59" s="149"/>
      <c r="H59" s="267">
        <f>134349</f>
        <v>134349</v>
      </c>
      <c r="I59" s="271">
        <f>104450</f>
        <v>104450</v>
      </c>
      <c r="J59" s="67">
        <f t="shared" si="6"/>
        <v>134349</v>
      </c>
      <c r="K59" s="67">
        <f t="shared" si="6"/>
        <v>104450</v>
      </c>
      <c r="L59" s="90">
        <f t="shared" si="7"/>
        <v>1.4153829592661591E-2</v>
      </c>
      <c r="M59" s="90">
        <f t="shared" si="8"/>
        <v>1.2862517951172809</v>
      </c>
      <c r="N59" s="274" t="s">
        <v>203</v>
      </c>
    </row>
    <row r="60" spans="1:14" s="7" customFormat="1" ht="14.25">
      <c r="A60" s="55">
        <v>43</v>
      </c>
      <c r="B60" s="35"/>
      <c r="C60" s="35"/>
      <c r="D60" s="35" t="s">
        <v>59</v>
      </c>
      <c r="E60" s="66" t="s">
        <v>60</v>
      </c>
      <c r="F60" s="153"/>
      <c r="G60" s="149"/>
      <c r="H60" s="267"/>
      <c r="I60" s="271">
        <f>1693</f>
        <v>1693</v>
      </c>
      <c r="J60" s="67">
        <f t="shared" si="6"/>
        <v>0</v>
      </c>
      <c r="K60" s="67">
        <f t="shared" si="6"/>
        <v>1693</v>
      </c>
      <c r="L60" s="90">
        <f t="shared" si="7"/>
        <v>2.294153518465876E-4</v>
      </c>
      <c r="M60" s="90">
        <f t="shared" si="8"/>
        <v>0</v>
      </c>
      <c r="N60" s="274" t="s">
        <v>203</v>
      </c>
    </row>
    <row r="61" spans="1:14" s="7" customFormat="1" ht="14.25">
      <c r="A61" s="55">
        <v>44</v>
      </c>
      <c r="B61" s="35"/>
      <c r="C61" s="35"/>
      <c r="D61" s="35" t="s">
        <v>61</v>
      </c>
      <c r="E61" s="66" t="s">
        <v>62</v>
      </c>
      <c r="F61" s="153"/>
      <c r="G61" s="149"/>
      <c r="H61" s="267"/>
      <c r="I61" s="271">
        <f>10000</f>
        <v>10000</v>
      </c>
      <c r="J61" s="67">
        <f t="shared" si="6"/>
        <v>0</v>
      </c>
      <c r="K61" s="67">
        <f t="shared" si="6"/>
        <v>10000</v>
      </c>
      <c r="L61" s="90">
        <f t="shared" si="7"/>
        <v>1.355081818349602E-3</v>
      </c>
      <c r="M61" s="90">
        <f t="shared" si="8"/>
        <v>0</v>
      </c>
      <c r="N61" s="274" t="s">
        <v>207</v>
      </c>
    </row>
    <row r="62" spans="1:14" s="7" customFormat="1" ht="14.25">
      <c r="A62" s="55">
        <v>45</v>
      </c>
      <c r="B62" s="35"/>
      <c r="C62" s="35"/>
      <c r="D62" s="35" t="s">
        <v>184</v>
      </c>
      <c r="E62" s="76"/>
      <c r="F62" s="153"/>
      <c r="G62" s="149"/>
      <c r="H62" s="84"/>
      <c r="I62" s="80"/>
      <c r="J62" s="67">
        <f>H62+F62</f>
        <v>0</v>
      </c>
      <c r="K62" s="67">
        <f>I62+G62</f>
        <v>0</v>
      </c>
      <c r="L62" s="90">
        <f t="shared" si="7"/>
        <v>0</v>
      </c>
      <c r="M62" s="90" t="e">
        <f>J62/K62</f>
        <v>#DIV/0!</v>
      </c>
      <c r="N62" s="89"/>
    </row>
    <row r="63" spans="1:14" s="7" customFormat="1" ht="14.25">
      <c r="A63" s="55">
        <v>46</v>
      </c>
      <c r="B63" s="35"/>
      <c r="C63" s="35"/>
      <c r="D63" s="35" t="s">
        <v>161</v>
      </c>
      <c r="E63" s="66" t="s">
        <v>63</v>
      </c>
      <c r="F63" s="153"/>
      <c r="G63" s="149"/>
      <c r="H63" s="267">
        <f>402762.96</f>
        <v>402762.96</v>
      </c>
      <c r="I63" s="271">
        <f>316113</f>
        <v>316113</v>
      </c>
      <c r="J63" s="67">
        <f t="shared" si="6"/>
        <v>402762.96</v>
      </c>
      <c r="K63" s="67">
        <f t="shared" si="6"/>
        <v>316113</v>
      </c>
      <c r="L63" s="90">
        <f t="shared" si="7"/>
        <v>4.283589788439477E-2</v>
      </c>
      <c r="M63" s="90">
        <f t="shared" si="8"/>
        <v>1.2741107135739436</v>
      </c>
      <c r="N63" s="274" t="s">
        <v>203</v>
      </c>
    </row>
    <row r="64" spans="1:14" s="7" customFormat="1" ht="14.25">
      <c r="A64" s="55">
        <v>47</v>
      </c>
      <c r="B64" s="35"/>
      <c r="C64" s="35"/>
      <c r="D64" s="35" t="s">
        <v>162</v>
      </c>
      <c r="E64" s="66">
        <v>4541</v>
      </c>
      <c r="F64" s="153"/>
      <c r="G64" s="149"/>
      <c r="H64" s="267"/>
      <c r="I64" s="271"/>
      <c r="J64" s="67">
        <f t="shared" si="6"/>
        <v>0</v>
      </c>
      <c r="K64" s="67">
        <f t="shared" si="6"/>
        <v>0</v>
      </c>
      <c r="L64" s="90">
        <f t="shared" si="7"/>
        <v>0</v>
      </c>
      <c r="M64" s="90" t="e">
        <f t="shared" si="8"/>
        <v>#DIV/0!</v>
      </c>
      <c r="N64" s="274" t="s">
        <v>203</v>
      </c>
    </row>
    <row r="65" spans="1:14" s="7" customFormat="1" ht="14.25">
      <c r="A65" s="55">
        <v>48</v>
      </c>
      <c r="B65" s="35"/>
      <c r="C65" s="35"/>
      <c r="D65" s="35" t="s">
        <v>64</v>
      </c>
      <c r="E65" s="66" t="s">
        <v>65</v>
      </c>
      <c r="F65" s="153"/>
      <c r="G65" s="149"/>
      <c r="H65" s="267"/>
      <c r="I65" s="271"/>
      <c r="J65" s="67">
        <f t="shared" si="6"/>
        <v>0</v>
      </c>
      <c r="K65" s="67">
        <f t="shared" si="6"/>
        <v>0</v>
      </c>
      <c r="L65" s="90">
        <f t="shared" si="7"/>
        <v>0</v>
      </c>
      <c r="M65" s="90" t="e">
        <f t="shared" si="8"/>
        <v>#DIV/0!</v>
      </c>
      <c r="N65" s="274" t="s">
        <v>203</v>
      </c>
    </row>
    <row r="66" spans="1:14" s="7" customFormat="1" ht="14.25">
      <c r="A66" s="55">
        <v>49</v>
      </c>
      <c r="B66" s="35"/>
      <c r="C66" s="35"/>
      <c r="D66" s="35" t="s">
        <v>66</v>
      </c>
      <c r="E66" s="66" t="s">
        <v>67</v>
      </c>
      <c r="F66" s="153"/>
      <c r="G66" s="149"/>
      <c r="H66" s="267">
        <f>7472.29</f>
        <v>7472.29</v>
      </c>
      <c r="I66" s="271"/>
      <c r="J66" s="67">
        <f t="shared" si="6"/>
        <v>7472.29</v>
      </c>
      <c r="K66" s="67">
        <f t="shared" si="6"/>
        <v>0</v>
      </c>
      <c r="L66" s="90">
        <f t="shared" si="7"/>
        <v>0</v>
      </c>
      <c r="M66" s="90" t="e">
        <f t="shared" si="8"/>
        <v>#DIV/0!</v>
      </c>
      <c r="N66" s="274" t="s">
        <v>203</v>
      </c>
    </row>
    <row r="67" spans="1:14" s="7" customFormat="1" ht="14.25">
      <c r="A67" s="55">
        <v>50</v>
      </c>
      <c r="B67" s="35"/>
      <c r="C67" s="35"/>
      <c r="D67" s="35" t="s">
        <v>68</v>
      </c>
      <c r="E67" s="66" t="s">
        <v>69</v>
      </c>
      <c r="F67" s="153"/>
      <c r="G67" s="149"/>
      <c r="H67" s="267">
        <f>16509</f>
        <v>16509</v>
      </c>
      <c r="I67" s="271">
        <f>30657</f>
        <v>30657</v>
      </c>
      <c r="J67" s="67">
        <f t="shared" si="6"/>
        <v>16509</v>
      </c>
      <c r="K67" s="67">
        <f t="shared" si="6"/>
        <v>30657</v>
      </c>
      <c r="L67" s="90">
        <f t="shared" si="7"/>
        <v>4.1542743305143749E-3</v>
      </c>
      <c r="M67" s="90">
        <f t="shared" si="8"/>
        <v>0.53850670319992167</v>
      </c>
      <c r="N67" s="274" t="s">
        <v>203</v>
      </c>
    </row>
    <row r="68" spans="1:14" s="7" customFormat="1" ht="14.25">
      <c r="A68" s="55">
        <v>51</v>
      </c>
      <c r="B68" s="35"/>
      <c r="C68" s="35"/>
      <c r="D68" s="35" t="s">
        <v>183</v>
      </c>
      <c r="E68" s="66">
        <v>4559</v>
      </c>
      <c r="F68" s="153"/>
      <c r="G68" s="149"/>
      <c r="H68" s="267"/>
      <c r="I68" s="271"/>
      <c r="J68" s="67">
        <f t="shared" si="6"/>
        <v>0</v>
      </c>
      <c r="K68" s="67">
        <f t="shared" si="6"/>
        <v>0</v>
      </c>
      <c r="L68" s="90">
        <f t="shared" si="7"/>
        <v>0</v>
      </c>
      <c r="M68" s="90" t="e">
        <f t="shared" si="8"/>
        <v>#DIV/0!</v>
      </c>
      <c r="N68" s="274"/>
    </row>
    <row r="69" spans="1:14" s="7" customFormat="1" ht="14.25">
      <c r="A69" s="55">
        <v>52</v>
      </c>
      <c r="B69" s="35"/>
      <c r="C69" s="35"/>
      <c r="D69" s="35" t="s">
        <v>119</v>
      </c>
      <c r="E69" s="66">
        <v>4580</v>
      </c>
      <c r="F69" s="153"/>
      <c r="G69" s="149"/>
      <c r="H69" s="267"/>
      <c r="I69" s="271"/>
      <c r="J69" s="67">
        <f>H69+F69</f>
        <v>0</v>
      </c>
      <c r="K69" s="67">
        <f>I69+G69</f>
        <v>0</v>
      </c>
      <c r="L69" s="90">
        <f t="shared" si="7"/>
        <v>0</v>
      </c>
      <c r="M69" s="90" t="e">
        <f>J69/K69</f>
        <v>#DIV/0!</v>
      </c>
      <c r="N69" s="274"/>
    </row>
    <row r="70" spans="1:14" s="7" customFormat="1" ht="14.25">
      <c r="A70" s="55">
        <v>53</v>
      </c>
      <c r="B70" s="35"/>
      <c r="C70" s="35"/>
      <c r="D70" s="35" t="s">
        <v>125</v>
      </c>
      <c r="E70" s="66">
        <v>4590</v>
      </c>
      <c r="F70" s="153"/>
      <c r="G70" s="149"/>
      <c r="H70" s="267"/>
      <c r="I70" s="271"/>
      <c r="J70" s="67">
        <f>H70+F70</f>
        <v>0</v>
      </c>
      <c r="K70" s="67">
        <f>I70+G70</f>
        <v>0</v>
      </c>
      <c r="L70" s="90">
        <f t="shared" si="7"/>
        <v>0</v>
      </c>
      <c r="M70" s="90" t="e">
        <f t="shared" si="8"/>
        <v>#DIV/0!</v>
      </c>
      <c r="N70" s="274"/>
    </row>
    <row r="71" spans="1:14" s="7" customFormat="1" ht="14.25">
      <c r="A71" s="55">
        <v>54</v>
      </c>
      <c r="B71" s="35"/>
      <c r="C71" s="35"/>
      <c r="D71" s="7" t="s">
        <v>126</v>
      </c>
      <c r="E71" s="66" t="s">
        <v>70</v>
      </c>
      <c r="F71" s="153"/>
      <c r="G71" s="149"/>
      <c r="H71" s="267"/>
      <c r="I71" s="271"/>
      <c r="J71" s="67">
        <f t="shared" si="6"/>
        <v>0</v>
      </c>
      <c r="K71" s="67">
        <f t="shared" si="6"/>
        <v>0</v>
      </c>
      <c r="L71" s="90">
        <f t="shared" si="7"/>
        <v>0</v>
      </c>
      <c r="M71" s="90" t="e">
        <f t="shared" si="8"/>
        <v>#DIV/0!</v>
      </c>
      <c r="N71" s="274"/>
    </row>
    <row r="72" spans="1:14" s="7" customFormat="1" ht="14.25">
      <c r="A72" s="55">
        <v>55</v>
      </c>
      <c r="B72" s="35"/>
      <c r="C72" s="35"/>
      <c r="D72" s="35" t="s">
        <v>124</v>
      </c>
      <c r="E72" s="66">
        <v>4590</v>
      </c>
      <c r="F72" s="153"/>
      <c r="G72" s="149"/>
      <c r="H72" s="267"/>
      <c r="I72" s="271"/>
      <c r="J72" s="67">
        <f t="shared" ref="J72:K74" si="11">H72+F72</f>
        <v>0</v>
      </c>
      <c r="K72" s="67">
        <f t="shared" si="11"/>
        <v>0</v>
      </c>
      <c r="L72" s="90">
        <f t="shared" si="7"/>
        <v>0</v>
      </c>
      <c r="M72" s="90" t="e">
        <f>J72/K72</f>
        <v>#DIV/0!</v>
      </c>
      <c r="N72" s="274"/>
    </row>
    <row r="73" spans="1:14" s="7" customFormat="1" ht="14.25">
      <c r="A73" s="55">
        <v>56</v>
      </c>
      <c r="B73" s="39"/>
      <c r="C73" s="39"/>
      <c r="D73" s="39"/>
      <c r="E73" s="66"/>
      <c r="F73" s="153"/>
      <c r="G73" s="149"/>
      <c r="H73" s="267"/>
      <c r="I73" s="271"/>
      <c r="J73" s="67">
        <f t="shared" si="11"/>
        <v>0</v>
      </c>
      <c r="K73" s="67">
        <f t="shared" si="11"/>
        <v>0</v>
      </c>
      <c r="L73" s="90">
        <f t="shared" si="7"/>
        <v>0</v>
      </c>
      <c r="M73" s="90" t="e">
        <f>J73/K73</f>
        <v>#DIV/0!</v>
      </c>
      <c r="N73" s="274"/>
    </row>
    <row r="74" spans="1:14" s="7" customFormat="1" ht="14.25">
      <c r="A74" s="55">
        <v>57</v>
      </c>
      <c r="B74" s="39"/>
      <c r="C74" s="39"/>
      <c r="D74" s="39" t="s">
        <v>182</v>
      </c>
      <c r="E74" s="66"/>
      <c r="F74" s="152"/>
      <c r="G74" s="148"/>
      <c r="H74" s="267">
        <f>252083.92</f>
        <v>252083.92</v>
      </c>
      <c r="I74" s="271">
        <v>2400</v>
      </c>
      <c r="J74" s="67">
        <f t="shared" si="11"/>
        <v>252083.92</v>
      </c>
      <c r="K74" s="67">
        <f t="shared" si="11"/>
        <v>2400</v>
      </c>
      <c r="L74" s="90">
        <f t="shared" si="7"/>
        <v>3.2521963640390447E-4</v>
      </c>
      <c r="M74" s="90">
        <f>J74/K74</f>
        <v>105.03496666666668</v>
      </c>
      <c r="N74" s="274" t="s">
        <v>203</v>
      </c>
    </row>
    <row r="75" spans="1:14" s="7" customFormat="1" ht="14.25">
      <c r="A75" s="55">
        <v>58</v>
      </c>
      <c r="B75" s="37"/>
      <c r="C75" s="37" t="s">
        <v>42</v>
      </c>
      <c r="D75" s="37"/>
      <c r="E75" s="69"/>
      <c r="F75" s="85"/>
      <c r="G75" s="81"/>
      <c r="H75" s="85"/>
      <c r="I75" s="81"/>
      <c r="J75" s="67">
        <f t="shared" si="6"/>
        <v>0</v>
      </c>
      <c r="K75" s="67">
        <f t="shared" si="6"/>
        <v>0</v>
      </c>
      <c r="L75" s="90">
        <f t="shared" si="7"/>
        <v>0</v>
      </c>
      <c r="M75" s="90" t="e">
        <f t="shared" si="8"/>
        <v>#DIV/0!</v>
      </c>
      <c r="N75" s="274"/>
    </row>
    <row r="76" spans="1:14" s="8" customFormat="1" ht="14.25" customHeight="1">
      <c r="A76" s="55">
        <v>59</v>
      </c>
      <c r="B76" s="37"/>
      <c r="C76" s="37"/>
      <c r="D76" s="37" t="s">
        <v>185</v>
      </c>
      <c r="E76" s="37"/>
      <c r="F76" s="85"/>
      <c r="G76" s="81"/>
      <c r="H76" s="85">
        <f>8622.5</f>
        <v>8622.5</v>
      </c>
      <c r="I76" s="81"/>
      <c r="J76" s="67">
        <f t="shared" si="6"/>
        <v>8622.5</v>
      </c>
      <c r="K76" s="67">
        <f t="shared" si="6"/>
        <v>0</v>
      </c>
      <c r="L76" s="90">
        <f t="shared" si="7"/>
        <v>0</v>
      </c>
      <c r="M76" s="90" t="e">
        <f t="shared" si="8"/>
        <v>#DIV/0!</v>
      </c>
      <c r="N76" s="274"/>
    </row>
    <row r="77" spans="1:14" s="8" customFormat="1" ht="14.25" customHeight="1">
      <c r="A77" s="55">
        <v>60</v>
      </c>
      <c r="B77" s="39"/>
      <c r="C77" s="39"/>
      <c r="D77" s="39"/>
      <c r="E77" s="39"/>
      <c r="F77" s="267"/>
      <c r="G77" s="79"/>
      <c r="H77" s="267"/>
      <c r="I77" s="271"/>
      <c r="J77" s="71">
        <f t="shared" si="6"/>
        <v>0</v>
      </c>
      <c r="K77" s="71">
        <f t="shared" si="6"/>
        <v>0</v>
      </c>
      <c r="L77" s="91">
        <f t="shared" si="7"/>
        <v>0</v>
      </c>
      <c r="M77" s="91" t="e">
        <f t="shared" si="8"/>
        <v>#DIV/0!</v>
      </c>
      <c r="N77" s="274"/>
    </row>
    <row r="78" spans="1:14" s="7" customFormat="1" ht="14.25">
      <c r="A78" s="163">
        <v>61</v>
      </c>
      <c r="B78" s="41" t="s">
        <v>71</v>
      </c>
      <c r="C78" s="41"/>
      <c r="D78" s="41"/>
      <c r="E78" s="73"/>
      <c r="F78" s="86">
        <f>SUM(F49:F77)</f>
        <v>0</v>
      </c>
      <c r="G78" s="82">
        <f>SUM(G49:G77)</f>
        <v>0</v>
      </c>
      <c r="H78" s="86">
        <f>SUM(H49:H77)</f>
        <v>1384159.42</v>
      </c>
      <c r="I78" s="82">
        <f>SUM(I49:I77)</f>
        <v>985644</v>
      </c>
      <c r="J78" s="74">
        <f t="shared" si="6"/>
        <v>1384159.42</v>
      </c>
      <c r="K78" s="74">
        <f t="shared" si="6"/>
        <v>985644</v>
      </c>
      <c r="L78" s="92">
        <f t="shared" si="7"/>
        <v>0.13356282637653749</v>
      </c>
      <c r="M78" s="92">
        <f t="shared" si="8"/>
        <v>1.4043198355592892</v>
      </c>
      <c r="N78" s="64"/>
    </row>
    <row r="79" spans="1:14" s="7" customFormat="1" ht="18" customHeight="1">
      <c r="A79" s="55">
        <v>62</v>
      </c>
      <c r="B79" s="35"/>
      <c r="C79" s="35"/>
      <c r="D79" s="35"/>
      <c r="E79" s="194"/>
      <c r="F79" s="195"/>
      <c r="G79" s="196"/>
      <c r="H79" s="195"/>
      <c r="I79" s="196"/>
      <c r="J79" s="197"/>
      <c r="K79" s="197"/>
      <c r="L79" s="198"/>
      <c r="M79" s="198"/>
      <c r="N79" s="199"/>
    </row>
    <row r="80" spans="1:14" s="7" customFormat="1" ht="14.25">
      <c r="A80" s="163">
        <v>63</v>
      </c>
      <c r="B80" s="41" t="s">
        <v>72</v>
      </c>
      <c r="C80" s="41"/>
      <c r="D80" s="41"/>
      <c r="E80" s="113"/>
      <c r="F80" s="114"/>
      <c r="G80" s="115"/>
      <c r="H80" s="114"/>
      <c r="I80" s="115"/>
      <c r="J80" s="110"/>
      <c r="K80" s="110"/>
      <c r="L80" s="118"/>
      <c r="M80" s="118"/>
      <c r="N80" s="127"/>
    </row>
    <row r="81" spans="1:14" s="7" customFormat="1" ht="18" customHeight="1">
      <c r="A81" s="55">
        <v>64</v>
      </c>
      <c r="B81" s="35"/>
      <c r="C81" s="39"/>
      <c r="D81" s="39" t="s">
        <v>206</v>
      </c>
      <c r="E81" s="70"/>
      <c r="F81" s="83"/>
      <c r="G81" s="79"/>
      <c r="H81" s="83">
        <f>658132</f>
        <v>658132</v>
      </c>
      <c r="I81" s="79"/>
      <c r="J81" s="67">
        <f t="shared" si="6"/>
        <v>658132</v>
      </c>
      <c r="K81" s="67">
        <f t="shared" si="6"/>
        <v>0</v>
      </c>
      <c r="L81" s="90">
        <f>K81/$K$83</f>
        <v>0</v>
      </c>
      <c r="M81" s="90" t="e">
        <f t="shared" si="8"/>
        <v>#DIV/0!</v>
      </c>
      <c r="N81" s="63"/>
    </row>
    <row r="82" spans="1:14" s="7" customFormat="1" ht="14.25">
      <c r="A82" s="55">
        <v>65</v>
      </c>
      <c r="B82" s="35"/>
      <c r="C82" s="39"/>
      <c r="D82" s="39"/>
      <c r="E82" s="78"/>
      <c r="F82" s="83"/>
      <c r="G82" s="79"/>
      <c r="H82" s="83"/>
      <c r="I82" s="271"/>
      <c r="J82" s="71">
        <f t="shared" si="6"/>
        <v>0</v>
      </c>
      <c r="K82" s="71">
        <f t="shared" si="6"/>
        <v>0</v>
      </c>
      <c r="L82" s="91">
        <f>K82/$K$83</f>
        <v>0</v>
      </c>
      <c r="M82" s="91" t="e">
        <f t="shared" si="8"/>
        <v>#DIV/0!</v>
      </c>
      <c r="N82" s="274"/>
    </row>
    <row r="83" spans="1:14" s="7" customFormat="1" ht="15.75" thickBot="1">
      <c r="A83" s="162">
        <v>66</v>
      </c>
      <c r="B83" s="219" t="s">
        <v>78</v>
      </c>
      <c r="C83" s="219"/>
      <c r="D83" s="219"/>
      <c r="E83" s="220"/>
      <c r="F83" s="221">
        <f t="shared" ref="F83:K83" si="12">F23+F41+F78+F81+F82</f>
        <v>6245080.21</v>
      </c>
      <c r="G83" s="222">
        <f t="shared" si="12"/>
        <v>6170784.2000000002</v>
      </c>
      <c r="H83" s="221">
        <f>H23+H41+H78+H81+H82</f>
        <v>2442672.5499999998</v>
      </c>
      <c r="I83" s="222">
        <f t="shared" si="12"/>
        <v>1208844</v>
      </c>
      <c r="J83" s="159">
        <f t="shared" si="12"/>
        <v>8687752.7599999998</v>
      </c>
      <c r="K83" s="159">
        <f t="shared" si="12"/>
        <v>7379628.2000000002</v>
      </c>
      <c r="L83" s="160">
        <f>K83/$K$83</f>
        <v>1</v>
      </c>
      <c r="M83" s="160">
        <f t="shared" si="8"/>
        <v>1.1772615807392572</v>
      </c>
      <c r="N83" s="161"/>
    </row>
    <row r="84" spans="1:14" s="13" customFormat="1" ht="17.25" customHeight="1" thickTop="1">
      <c r="A84" s="210"/>
      <c r="B84" s="321" t="s">
        <v>96</v>
      </c>
      <c r="C84" s="322"/>
      <c r="D84" s="322"/>
      <c r="E84" s="172"/>
      <c r="F84" s="211"/>
      <c r="G84" s="212"/>
      <c r="H84" s="213"/>
      <c r="I84" s="214"/>
      <c r="J84" s="215"/>
      <c r="K84" s="216"/>
      <c r="L84" s="217"/>
      <c r="M84" s="217"/>
      <c r="N84" s="218"/>
    </row>
    <row r="85" spans="1:14" s="15" customFormat="1" ht="22.5" customHeight="1">
      <c r="A85" s="177">
        <v>67</v>
      </c>
      <c r="B85" s="44"/>
      <c r="C85" s="139"/>
      <c r="D85" s="139" t="s">
        <v>79</v>
      </c>
      <c r="E85" s="200"/>
      <c r="F85" s="203"/>
      <c r="G85" s="202"/>
      <c r="H85" s="204"/>
      <c r="I85" s="202"/>
      <c r="J85" s="201"/>
      <c r="K85" s="201"/>
      <c r="L85" s="90"/>
      <c r="M85" s="90"/>
      <c r="N85" s="140"/>
    </row>
    <row r="86" spans="1:14" s="16" customFormat="1" ht="17.25" customHeight="1">
      <c r="A86" s="55">
        <v>68</v>
      </c>
      <c r="B86" s="45"/>
      <c r="C86" s="120" t="s">
        <v>29</v>
      </c>
      <c r="D86" s="121"/>
      <c r="E86" s="122"/>
      <c r="F86" s="123"/>
      <c r="G86" s="124"/>
      <c r="H86" s="125"/>
      <c r="I86" s="124"/>
      <c r="J86" s="126"/>
      <c r="K86" s="126"/>
      <c r="L86" s="118"/>
      <c r="M86" s="118"/>
      <c r="N86" s="127"/>
    </row>
    <row r="87" spans="1:14" s="16" customFormat="1" ht="15" customHeight="1" thickBot="1">
      <c r="A87" s="55">
        <v>69</v>
      </c>
      <c r="B87" s="45"/>
      <c r="C87" s="46"/>
      <c r="D87" s="43" t="s">
        <v>26</v>
      </c>
      <c r="E87" s="94">
        <v>111</v>
      </c>
      <c r="F87" s="100">
        <f>141218.89</f>
        <v>141218.89000000001</v>
      </c>
      <c r="G87" s="284">
        <f>'[1]Salaries 25-26'!$H$85</f>
        <v>140743.49250000002</v>
      </c>
      <c r="H87" s="104">
        <v>2270</v>
      </c>
      <c r="I87" s="102"/>
      <c r="J87" s="95">
        <f t="shared" ref="J87:J148" si="13">H87+F87</f>
        <v>143488.89000000001</v>
      </c>
      <c r="K87" s="95">
        <f t="shared" ref="K87:K149" si="14">I87+G87</f>
        <v>140743.49250000002</v>
      </c>
      <c r="L87" s="90">
        <f t="shared" ref="L87:L95" si="15">K87/$K$149</f>
        <v>1.9071896120897512E-2</v>
      </c>
      <c r="M87" s="90">
        <f t="shared" si="8"/>
        <v>1.019506390322096</v>
      </c>
      <c r="N87" s="274" t="s">
        <v>168</v>
      </c>
    </row>
    <row r="88" spans="1:14" s="16" customFormat="1" ht="15" customHeight="1" thickTop="1">
      <c r="A88" s="55">
        <v>70</v>
      </c>
      <c r="B88" s="45"/>
      <c r="C88" s="46"/>
      <c r="D88" s="43" t="s">
        <v>27</v>
      </c>
      <c r="E88" s="94">
        <v>111</v>
      </c>
      <c r="F88" s="100">
        <f>74847.87</f>
        <v>74847.87</v>
      </c>
      <c r="G88" s="283">
        <f>'[1]Salaries 25-26'!$I$85-I88</f>
        <v>71459.62000000001</v>
      </c>
      <c r="H88" s="104">
        <f>8861.92</f>
        <v>8861.92</v>
      </c>
      <c r="I88" s="102">
        <f>7940</f>
        <v>7940</v>
      </c>
      <c r="J88" s="95">
        <f t="shared" si="13"/>
        <v>83709.789999999994</v>
      </c>
      <c r="K88" s="95">
        <f t="shared" si="14"/>
        <v>79399.62000000001</v>
      </c>
      <c r="L88" s="90">
        <f t="shared" si="15"/>
        <v>1.0759298904556716E-2</v>
      </c>
      <c r="M88" s="90">
        <f t="shared" si="8"/>
        <v>1.0542845167269059</v>
      </c>
      <c r="N88" s="274" t="s">
        <v>177</v>
      </c>
    </row>
    <row r="89" spans="1:14" s="16" customFormat="1" ht="15" customHeight="1">
      <c r="A89" s="55">
        <v>71</v>
      </c>
      <c r="B89" s="45"/>
      <c r="C89" s="46"/>
      <c r="D89" s="43" t="s">
        <v>138</v>
      </c>
      <c r="E89" s="94">
        <v>111</v>
      </c>
      <c r="F89" s="100">
        <f>249522.3</f>
        <v>249522.3</v>
      </c>
      <c r="G89" s="283">
        <f>'[1]Salaries 25-26'!$J$85-I89</f>
        <v>315376.22300000006</v>
      </c>
      <c r="H89" s="104">
        <f>5379.93</f>
        <v>5379.93</v>
      </c>
      <c r="I89" s="102">
        <f>147837</f>
        <v>147837</v>
      </c>
      <c r="J89" s="95">
        <f t="shared" si="13"/>
        <v>254902.22999999998</v>
      </c>
      <c r="K89" s="95">
        <f t="shared" si="14"/>
        <v>463213.22300000006</v>
      </c>
      <c r="L89" s="90">
        <f t="shared" si="15"/>
        <v>6.2769186084266987E-2</v>
      </c>
      <c r="M89" s="90">
        <f t="shared" si="8"/>
        <v>0.55029135038314736</v>
      </c>
      <c r="N89" s="274" t="s">
        <v>165</v>
      </c>
    </row>
    <row r="90" spans="1:14" s="16" customFormat="1" ht="15" customHeight="1">
      <c r="A90" s="55">
        <v>72</v>
      </c>
      <c r="B90" s="45"/>
      <c r="C90" s="43" t="s">
        <v>5</v>
      </c>
      <c r="D90" s="43"/>
      <c r="E90" s="94">
        <v>112</v>
      </c>
      <c r="F90" s="100">
        <f>1584096.02</f>
        <v>1584096.02</v>
      </c>
      <c r="G90" s="283">
        <f>'[1]Salaries 25-26'!$K$85-I90</f>
        <v>1728579.46</v>
      </c>
      <c r="H90" s="104">
        <f>403613.2</f>
        <v>403613.2</v>
      </c>
      <c r="I90" s="102">
        <f>'[1]Salaries 25-26'!$O$93+97737+40439</f>
        <v>249264</v>
      </c>
      <c r="J90" s="95">
        <f t="shared" si="13"/>
        <v>1987709.22</v>
      </c>
      <c r="K90" s="95">
        <f t="shared" si="14"/>
        <v>1977843.46</v>
      </c>
      <c r="L90" s="90">
        <f t="shared" si="15"/>
        <v>0.26801399014960858</v>
      </c>
      <c r="M90" s="90">
        <f t="shared" si="8"/>
        <v>1.004988139961289</v>
      </c>
      <c r="N90" s="273" t="s">
        <v>166</v>
      </c>
    </row>
    <row r="91" spans="1:14" s="16" customFormat="1" ht="15" customHeight="1">
      <c r="A91" s="55">
        <v>73</v>
      </c>
      <c r="B91" s="43"/>
      <c r="C91" s="43" t="s">
        <v>28</v>
      </c>
      <c r="D91" s="43"/>
      <c r="E91" s="94">
        <v>113</v>
      </c>
      <c r="F91" s="100">
        <f>174681.7</f>
        <v>174681.7</v>
      </c>
      <c r="G91" s="283">
        <f>'[1]Salaries 25-26'!$L$72</f>
        <v>189569.15490000002</v>
      </c>
      <c r="H91" s="104">
        <f>201678.84</f>
        <v>201678.84</v>
      </c>
      <c r="I91" s="102"/>
      <c r="J91" s="95">
        <f t="shared" si="13"/>
        <v>376360.54000000004</v>
      </c>
      <c r="K91" s="95">
        <f t="shared" si="14"/>
        <v>189569.15490000002</v>
      </c>
      <c r="L91" s="90">
        <f t="shared" si="15"/>
        <v>2.5688173326941774E-2</v>
      </c>
      <c r="M91" s="90">
        <f t="shared" si="8"/>
        <v>1.9853469315645507</v>
      </c>
      <c r="N91" s="273" t="s">
        <v>167</v>
      </c>
    </row>
    <row r="92" spans="1:14" s="16" customFormat="1" ht="15" customHeight="1">
      <c r="A92" s="55">
        <v>74</v>
      </c>
      <c r="B92" s="43"/>
      <c r="C92" s="43" t="s">
        <v>30</v>
      </c>
      <c r="D92" s="43"/>
      <c r="E92" s="94">
        <v>114</v>
      </c>
      <c r="F92" s="100">
        <f>53250</f>
        <v>53250</v>
      </c>
      <c r="G92" s="283">
        <f>'[1]Salaries 25-26'!$M$72</f>
        <v>50468.552799999998</v>
      </c>
      <c r="H92" s="104"/>
      <c r="I92" s="102"/>
      <c r="J92" s="95">
        <f t="shared" si="13"/>
        <v>53250</v>
      </c>
      <c r="K92" s="95">
        <f t="shared" si="14"/>
        <v>50468.552799999998</v>
      </c>
      <c r="L92" s="90">
        <f t="shared" si="15"/>
        <v>6.8389023128272242E-3</v>
      </c>
      <c r="M92" s="90">
        <f t="shared" si="8"/>
        <v>1.0551124818463191</v>
      </c>
      <c r="N92" s="273"/>
    </row>
    <row r="93" spans="1:14" s="16" customFormat="1" ht="15" customHeight="1">
      <c r="A93" s="55">
        <v>75</v>
      </c>
      <c r="B93" s="43"/>
      <c r="C93" s="43" t="s">
        <v>33</v>
      </c>
      <c r="D93" s="43"/>
      <c r="E93" s="94">
        <v>116</v>
      </c>
      <c r="F93" s="100">
        <f>77270.28</f>
        <v>77270.28</v>
      </c>
      <c r="G93" s="283">
        <f>'[1]Salaries 25-26'!$F$81+'[1]Salaries 25-26'!$F$82-56500-I93</f>
        <v>40000</v>
      </c>
      <c r="H93" s="104">
        <f>1000</f>
        <v>1000</v>
      </c>
      <c r="I93" s="102">
        <f>16500</f>
        <v>16500</v>
      </c>
      <c r="J93" s="95">
        <f t="shared" si="13"/>
        <v>78270.28</v>
      </c>
      <c r="K93" s="95">
        <f t="shared" si="14"/>
        <v>56500</v>
      </c>
      <c r="L93" s="90">
        <f t="shared" si="15"/>
        <v>7.6562128144625182E-3</v>
      </c>
      <c r="M93" s="90">
        <f t="shared" si="8"/>
        <v>1.3853146902654867</v>
      </c>
      <c r="N93" s="273" t="s">
        <v>173</v>
      </c>
    </row>
    <row r="94" spans="1:14" s="16" customFormat="1" ht="15" customHeight="1">
      <c r="A94" s="55">
        <v>76</v>
      </c>
      <c r="B94" s="43"/>
      <c r="C94" s="46" t="s">
        <v>139</v>
      </c>
      <c r="D94" s="43"/>
      <c r="E94" s="94" t="s">
        <v>101</v>
      </c>
      <c r="F94" s="100">
        <f>1289.23+39524.99+70815.38+30494.81+16438.78+118077.46+233099.85</f>
        <v>509740.5</v>
      </c>
      <c r="G94" s="283">
        <f>'[1]Salaries 25-26'!$N$72+'[1]Salaries 25-26'!$F$83+'[1]Salaries 25-26'!$F$84-I94</f>
        <v>405289.12709999993</v>
      </c>
      <c r="H94" s="104">
        <f>185927.72+19311.42+35865.12+1000+2000+9302.43+35400+169085.6</f>
        <v>457892.29000000004</v>
      </c>
      <c r="I94" s="102">
        <f>'[1]Salaries 25-26'!$O$94+104450+36682.54+5000</f>
        <v>191732.54</v>
      </c>
      <c r="J94" s="96">
        <f t="shared" si="13"/>
        <v>967632.79</v>
      </c>
      <c r="K94" s="96">
        <f t="shared" si="14"/>
        <v>597021.66709999996</v>
      </c>
      <c r="L94" s="91">
        <f t="shared" si="15"/>
        <v>8.0901326339164512E-2</v>
      </c>
      <c r="M94" s="91">
        <f t="shared" si="8"/>
        <v>1.6207666209171658</v>
      </c>
      <c r="N94" s="273" t="s">
        <v>189</v>
      </c>
    </row>
    <row r="95" spans="1:14" s="16" customFormat="1" ht="15" customHeight="1">
      <c r="A95" s="163">
        <v>77</v>
      </c>
      <c r="B95" s="47"/>
      <c r="C95" s="47"/>
      <c r="D95" s="48" t="s">
        <v>80</v>
      </c>
      <c r="E95" s="97" t="s">
        <v>6</v>
      </c>
      <c r="F95" s="101">
        <f>SUM(F87:F94)</f>
        <v>2864627.56</v>
      </c>
      <c r="G95" s="103">
        <f>SUM(G87:G94)</f>
        <v>2941485.6303000003</v>
      </c>
      <c r="H95" s="101">
        <f>SUM(H87:H94)</f>
        <v>1080696.1800000002</v>
      </c>
      <c r="I95" s="103">
        <f>SUM(I87:I94)</f>
        <v>613273.54</v>
      </c>
      <c r="J95" s="98">
        <f t="shared" si="13"/>
        <v>3945323.74</v>
      </c>
      <c r="K95" s="98">
        <f t="shared" si="14"/>
        <v>3554759.1703000003</v>
      </c>
      <c r="L95" s="92">
        <f t="shared" si="15"/>
        <v>0.48169898605272587</v>
      </c>
      <c r="M95" s="92">
        <f t="shared" si="8"/>
        <v>1.1098708944794813</v>
      </c>
      <c r="N95" s="64"/>
    </row>
    <row r="96" spans="1:14" s="16" customFormat="1" ht="17.25" customHeight="1">
      <c r="A96" s="177">
        <v>78</v>
      </c>
      <c r="B96" s="44" t="s">
        <v>81</v>
      </c>
      <c r="C96" s="49"/>
      <c r="D96" s="44"/>
      <c r="E96" s="205"/>
      <c r="F96" s="209"/>
      <c r="G96" s="207"/>
      <c r="H96" s="208"/>
      <c r="I96" s="207"/>
      <c r="J96" s="206"/>
      <c r="K96" s="206"/>
      <c r="L96" s="93"/>
      <c r="M96" s="93"/>
      <c r="N96" s="89"/>
    </row>
    <row r="97" spans="1:14" s="16" customFormat="1" ht="17.25" customHeight="1">
      <c r="A97" s="55">
        <v>79</v>
      </c>
      <c r="B97" s="121"/>
      <c r="C97" s="121" t="s">
        <v>31</v>
      </c>
      <c r="D97" s="121"/>
      <c r="E97" s="141">
        <v>210</v>
      </c>
      <c r="F97" s="142">
        <f>357754.11</f>
        <v>357754.11</v>
      </c>
      <c r="G97" s="285">
        <f>'[1]Salaries 25-26'!$U$85-I97</f>
        <v>529215.83999999962</v>
      </c>
      <c r="H97" s="143">
        <f>44345.97</f>
        <v>44345.97</v>
      </c>
      <c r="I97" s="285">
        <f>'[1]Salaries 25-26'!$O$98+9000+8280</f>
        <v>50400.959999999999</v>
      </c>
      <c r="J97" s="126">
        <f t="shared" si="13"/>
        <v>402100.07999999996</v>
      </c>
      <c r="K97" s="126">
        <f t="shared" si="14"/>
        <v>579616.79999999958</v>
      </c>
      <c r="L97" s="118">
        <f t="shared" ref="L97:L104" si="16">K97/$K$149</f>
        <v>7.8542824276774434E-2</v>
      </c>
      <c r="M97" s="118">
        <f t="shared" si="8"/>
        <v>0.69373434310392701</v>
      </c>
      <c r="N97" s="277" t="s">
        <v>170</v>
      </c>
    </row>
    <row r="98" spans="1:14" s="16" customFormat="1" ht="15" customHeight="1">
      <c r="A98" s="55">
        <v>80</v>
      </c>
      <c r="B98" s="43"/>
      <c r="C98" s="43" t="s">
        <v>7</v>
      </c>
      <c r="D98" s="43"/>
      <c r="E98" s="94">
        <v>220</v>
      </c>
      <c r="F98" s="100">
        <f>207496.66</f>
        <v>207496.66</v>
      </c>
      <c r="G98" s="276">
        <f>'[1]Salaries 25-26'!$Q$85-I98</f>
        <v>200045.41255860007</v>
      </c>
      <c r="H98" s="104">
        <f>17456.11</f>
        <v>17456.11</v>
      </c>
      <c r="I98" s="276">
        <f>'[1]Salaries 25-26'!$O$95+8733+2274</f>
        <v>20721.655999999999</v>
      </c>
      <c r="J98" s="95">
        <f t="shared" si="13"/>
        <v>224952.77000000002</v>
      </c>
      <c r="K98" s="95">
        <f t="shared" si="14"/>
        <v>220767.06855860006</v>
      </c>
      <c r="L98" s="90">
        <f t="shared" si="16"/>
        <v>2.9915746182472197E-2</v>
      </c>
      <c r="M98" s="90">
        <f t="shared" si="8"/>
        <v>1.0189598089458207</v>
      </c>
      <c r="N98" s="273">
        <v>6.2E-2</v>
      </c>
    </row>
    <row r="99" spans="1:14" s="16" customFormat="1" ht="15" customHeight="1">
      <c r="A99" s="55">
        <v>81</v>
      </c>
      <c r="B99" s="43"/>
      <c r="C99" s="43" t="s">
        <v>22</v>
      </c>
      <c r="D99" s="43"/>
      <c r="E99" s="94">
        <v>225</v>
      </c>
      <c r="F99" s="100">
        <f>46880.5</f>
        <v>46880.5</v>
      </c>
      <c r="G99" s="276">
        <f>'[1]Salaries 25-26'!$S$85-I99</f>
        <v>44680.031969349984</v>
      </c>
      <c r="H99" s="104">
        <f>6295.31</f>
        <v>6295.31</v>
      </c>
      <c r="I99" s="276">
        <f>'[1]Salaries 25-26'!$O$96+4147+532</f>
        <v>6950.9760000000006</v>
      </c>
      <c r="J99" s="95">
        <f t="shared" si="13"/>
        <v>53175.81</v>
      </c>
      <c r="K99" s="95">
        <f t="shared" si="14"/>
        <v>51631.007969349987</v>
      </c>
      <c r="L99" s="90">
        <f t="shared" si="16"/>
        <v>6.9964245104168809E-3</v>
      </c>
      <c r="M99" s="90">
        <f t="shared" si="8"/>
        <v>1.0299200440085745</v>
      </c>
      <c r="N99" s="273">
        <v>1.4500000000000001E-2</v>
      </c>
    </row>
    <row r="100" spans="1:14" s="16" customFormat="1" ht="15" customHeight="1">
      <c r="A100" s="55">
        <v>82</v>
      </c>
      <c r="B100" s="43"/>
      <c r="C100" s="43" t="s">
        <v>8</v>
      </c>
      <c r="D100" s="43"/>
      <c r="E100" s="94" t="s">
        <v>122</v>
      </c>
      <c r="F100" s="100">
        <f>153940.91</f>
        <v>153940.91</v>
      </c>
      <c r="G100" s="276">
        <f>'[1]Salaries 25-26'!$Y$85-I100</f>
        <v>222091.98192100006</v>
      </c>
      <c r="H100" s="104">
        <f>30930.42</f>
        <v>30930.42</v>
      </c>
      <c r="I100" s="276">
        <f>'[1]Salaries 25-26'!$O$97+5120+2568</f>
        <v>18656.160000000003</v>
      </c>
      <c r="J100" s="95">
        <f t="shared" si="13"/>
        <v>184871.33000000002</v>
      </c>
      <c r="K100" s="95">
        <f t="shared" si="14"/>
        <v>240748.14192100006</v>
      </c>
      <c r="L100" s="90">
        <f t="shared" si="16"/>
        <v>3.2623345296169941E-2</v>
      </c>
      <c r="M100" s="90">
        <f t="shared" si="8"/>
        <v>0.7679034551413666</v>
      </c>
      <c r="N100" s="277">
        <v>7.0000000000000007E-2</v>
      </c>
    </row>
    <row r="101" spans="1:14" s="16" customFormat="1" ht="15" customHeight="1">
      <c r="A101" s="55">
        <v>83</v>
      </c>
      <c r="B101" s="43"/>
      <c r="C101" s="43" t="s">
        <v>9</v>
      </c>
      <c r="D101" s="43"/>
      <c r="E101" s="94">
        <v>250</v>
      </c>
      <c r="F101" s="100">
        <f>5988.38</f>
        <v>5988.38</v>
      </c>
      <c r="G101" s="286">
        <f>'[1]Salaries 25-26'!$W$85-I101</f>
        <v>23060</v>
      </c>
      <c r="H101" s="104"/>
      <c r="I101" s="286">
        <f>'[1]Salaries 25-26'!$O$99</f>
        <v>1440</v>
      </c>
      <c r="J101" s="95">
        <f t="shared" si="13"/>
        <v>5988.38</v>
      </c>
      <c r="K101" s="95">
        <f t="shared" si="14"/>
        <v>24500</v>
      </c>
      <c r="L101" s="90">
        <f t="shared" si="16"/>
        <v>3.3199506894571983E-3</v>
      </c>
      <c r="M101" s="90">
        <f t="shared" si="8"/>
        <v>0.24442367346938776</v>
      </c>
      <c r="N101" s="273"/>
    </row>
    <row r="102" spans="1:14" s="16" customFormat="1" ht="15" customHeight="1">
      <c r="A102" s="55">
        <v>84</v>
      </c>
      <c r="B102" s="43"/>
      <c r="C102" s="46" t="s">
        <v>32</v>
      </c>
      <c r="D102" s="43"/>
      <c r="E102" s="94">
        <v>270</v>
      </c>
      <c r="F102" s="100"/>
      <c r="G102" s="102"/>
      <c r="H102" s="104"/>
      <c r="I102" s="102"/>
      <c r="J102" s="95">
        <f t="shared" si="13"/>
        <v>0</v>
      </c>
      <c r="K102" s="95">
        <f t="shared" si="14"/>
        <v>0</v>
      </c>
      <c r="L102" s="90">
        <f t="shared" si="16"/>
        <v>0</v>
      </c>
      <c r="M102" s="90" t="e">
        <f t="shared" si="8"/>
        <v>#DIV/0!</v>
      </c>
      <c r="N102" s="273"/>
    </row>
    <row r="103" spans="1:14" s="16" customFormat="1" ht="15" customHeight="1">
      <c r="A103" s="55">
        <v>85</v>
      </c>
      <c r="B103" s="43"/>
      <c r="C103" s="46" t="s">
        <v>140</v>
      </c>
      <c r="D103" s="43"/>
      <c r="E103" s="94" t="s">
        <v>10</v>
      </c>
      <c r="F103" s="100">
        <f>30716</f>
        <v>30716</v>
      </c>
      <c r="G103" s="276">
        <f>'[1]Salaries 25-26'!$AC$85+29759</f>
        <v>54599</v>
      </c>
      <c r="H103" s="104"/>
      <c r="I103" s="102"/>
      <c r="J103" s="96">
        <f t="shared" si="13"/>
        <v>30716</v>
      </c>
      <c r="K103" s="96">
        <f t="shared" si="14"/>
        <v>54599</v>
      </c>
      <c r="L103" s="91">
        <f t="shared" si="16"/>
        <v>7.398611742598921E-3</v>
      </c>
      <c r="M103" s="91">
        <f t="shared" si="8"/>
        <v>0.56257440612465426</v>
      </c>
      <c r="N103" s="273" t="s">
        <v>188</v>
      </c>
    </row>
    <row r="104" spans="1:14" s="16" customFormat="1" ht="15" customHeight="1">
      <c r="A104" s="163">
        <v>86</v>
      </c>
      <c r="B104" s="47"/>
      <c r="C104" s="47"/>
      <c r="D104" s="48" t="s">
        <v>82</v>
      </c>
      <c r="E104" s="97" t="s">
        <v>11</v>
      </c>
      <c r="F104" s="101">
        <f>SUM(F97:F103)</f>
        <v>802776.56</v>
      </c>
      <c r="G104" s="103">
        <f>SUM(G97:G103)</f>
        <v>1073692.2664489497</v>
      </c>
      <c r="H104" s="101">
        <f>SUM(H97:H103)</f>
        <v>99027.81</v>
      </c>
      <c r="I104" s="103">
        <f>SUM(I97:I103)</f>
        <v>98169.751999999993</v>
      </c>
      <c r="J104" s="74">
        <f t="shared" si="13"/>
        <v>901804.37000000011</v>
      </c>
      <c r="K104" s="74">
        <f t="shared" si="14"/>
        <v>1171862.0184489498</v>
      </c>
      <c r="L104" s="92">
        <f t="shared" si="16"/>
        <v>0.15879690269788957</v>
      </c>
      <c r="M104" s="92">
        <f t="shared" si="8"/>
        <v>0.7695482538068843</v>
      </c>
      <c r="N104" s="64"/>
    </row>
    <row r="105" spans="1:14" s="16" customFormat="1" ht="17.25" customHeight="1">
      <c r="A105" s="177">
        <v>87</v>
      </c>
      <c r="B105" s="44" t="s">
        <v>84</v>
      </c>
      <c r="C105" s="49"/>
      <c r="D105" s="44"/>
      <c r="E105" s="205"/>
      <c r="F105" s="209"/>
      <c r="G105" s="207"/>
      <c r="H105" s="208"/>
      <c r="I105" s="207"/>
      <c r="J105" s="206"/>
      <c r="K105" s="206"/>
      <c r="L105" s="93"/>
      <c r="M105" s="93"/>
      <c r="N105" s="89"/>
    </row>
    <row r="106" spans="1:14" s="16" customFormat="1" ht="17.25" customHeight="1">
      <c r="A106" s="55">
        <v>88</v>
      </c>
      <c r="B106" s="121"/>
      <c r="C106" s="121" t="s">
        <v>12</v>
      </c>
      <c r="D106" s="121"/>
      <c r="E106" s="141">
        <v>332</v>
      </c>
      <c r="F106" s="142">
        <f>1172</f>
        <v>1172</v>
      </c>
      <c r="G106" s="105">
        <f>5000</f>
        <v>5000</v>
      </c>
      <c r="H106" s="143"/>
      <c r="I106" s="105"/>
      <c r="J106" s="126">
        <f t="shared" si="13"/>
        <v>1172</v>
      </c>
      <c r="K106" s="126">
        <f t="shared" si="14"/>
        <v>5000</v>
      </c>
      <c r="L106" s="118">
        <f>K106/$K$149</f>
        <v>6.7754095703208121E-4</v>
      </c>
      <c r="M106" s="118">
        <f t="shared" si="8"/>
        <v>0.2344</v>
      </c>
      <c r="N106" s="280" t="s">
        <v>187</v>
      </c>
    </row>
    <row r="107" spans="1:14" s="16" customFormat="1" ht="15" customHeight="1">
      <c r="A107" s="55">
        <v>89</v>
      </c>
      <c r="B107" s="43"/>
      <c r="C107" s="43" t="s">
        <v>13</v>
      </c>
      <c r="D107" s="43"/>
      <c r="E107" s="94">
        <v>333</v>
      </c>
      <c r="F107" s="100">
        <f>37250+2175</f>
        <v>39425</v>
      </c>
      <c r="G107" s="102">
        <f>50000</f>
        <v>50000</v>
      </c>
      <c r="H107" s="104"/>
      <c r="I107" s="102"/>
      <c r="J107" s="95">
        <f t="shared" si="13"/>
        <v>39425</v>
      </c>
      <c r="K107" s="95">
        <f t="shared" si="14"/>
        <v>50000</v>
      </c>
      <c r="L107" s="90">
        <f>K107/$K$149</f>
        <v>6.7754095703208127E-3</v>
      </c>
      <c r="M107" s="90">
        <f t="shared" si="8"/>
        <v>0.78849999999999998</v>
      </c>
      <c r="N107" s="274" t="s">
        <v>180</v>
      </c>
    </row>
    <row r="108" spans="1:14" s="16" customFormat="1" ht="15" customHeight="1">
      <c r="A108" s="55">
        <v>90</v>
      </c>
      <c r="B108" s="43"/>
      <c r="C108" s="43" t="s">
        <v>34</v>
      </c>
      <c r="D108" s="43"/>
      <c r="E108" s="94" t="s">
        <v>102</v>
      </c>
      <c r="F108" s="100"/>
      <c r="G108" s="102"/>
      <c r="H108" s="104"/>
      <c r="I108" s="102"/>
      <c r="J108" s="95">
        <f t="shared" si="13"/>
        <v>0</v>
      </c>
      <c r="K108" s="95">
        <f t="shared" si="14"/>
        <v>0</v>
      </c>
      <c r="L108" s="90">
        <f>K108/$K$149</f>
        <v>0</v>
      </c>
      <c r="M108" s="90" t="e">
        <f t="shared" si="8"/>
        <v>#DIV/0!</v>
      </c>
      <c r="N108" s="63"/>
    </row>
    <row r="109" spans="1:14" s="16" customFormat="1" ht="15" customHeight="1">
      <c r="A109" s="55">
        <v>91</v>
      </c>
      <c r="B109" s="43"/>
      <c r="C109" s="46" t="s">
        <v>141</v>
      </c>
      <c r="D109" s="43"/>
      <c r="E109" s="94" t="s">
        <v>102</v>
      </c>
      <c r="F109" s="100">
        <f>183752.86+33344.37+759.8+4167.35+38293.3+532.3</f>
        <v>260849.97999999998</v>
      </c>
      <c r="G109" s="102">
        <f>300000+20000-I109</f>
        <v>279343</v>
      </c>
      <c r="H109" s="104">
        <f>9539+7700</f>
        <v>17239</v>
      </c>
      <c r="I109" s="102">
        <f>10000+30657</f>
        <v>40657</v>
      </c>
      <c r="J109" s="96">
        <f t="shared" si="13"/>
        <v>278088.98</v>
      </c>
      <c r="K109" s="96">
        <f t="shared" si="14"/>
        <v>320000</v>
      </c>
      <c r="L109" s="91">
        <f>K109/$K$149</f>
        <v>4.3362621250053197E-2</v>
      </c>
      <c r="M109" s="91">
        <f t="shared" si="8"/>
        <v>0.86902806249999998</v>
      </c>
      <c r="N109" s="278" t="s">
        <v>181</v>
      </c>
    </row>
    <row r="110" spans="1:14" s="16" customFormat="1" ht="15" customHeight="1">
      <c r="A110" s="163">
        <v>92</v>
      </c>
      <c r="B110" s="47"/>
      <c r="C110" s="47"/>
      <c r="D110" s="48" t="s">
        <v>83</v>
      </c>
      <c r="E110" s="97" t="s">
        <v>14</v>
      </c>
      <c r="F110" s="101">
        <f>SUM(F106:F109)</f>
        <v>301446.98</v>
      </c>
      <c r="G110" s="103">
        <f>SUM(G106:G109)</f>
        <v>334343</v>
      </c>
      <c r="H110" s="101">
        <f>SUM(H106:H109)</f>
        <v>17239</v>
      </c>
      <c r="I110" s="103">
        <f>SUM(I105:I109)</f>
        <v>40657</v>
      </c>
      <c r="J110" s="74">
        <f t="shared" si="13"/>
        <v>318685.98</v>
      </c>
      <c r="K110" s="74">
        <f t="shared" si="14"/>
        <v>375000</v>
      </c>
      <c r="L110" s="92">
        <f>K110/$K$149</f>
        <v>5.0815571777406095E-2</v>
      </c>
      <c r="M110" s="92">
        <f t="shared" si="8"/>
        <v>0.84982927999999991</v>
      </c>
      <c r="N110" s="64"/>
    </row>
    <row r="111" spans="1:14" s="16" customFormat="1" ht="17.25" customHeight="1">
      <c r="A111" s="177">
        <v>93</v>
      </c>
      <c r="B111" s="44" t="s">
        <v>85</v>
      </c>
      <c r="C111" s="44"/>
      <c r="D111" s="44"/>
      <c r="E111" s="205"/>
      <c r="F111" s="209"/>
      <c r="G111" s="207"/>
      <c r="H111" s="208"/>
      <c r="I111" s="207"/>
      <c r="J111" s="206"/>
      <c r="K111" s="206"/>
      <c r="L111" s="93"/>
      <c r="M111" s="93"/>
      <c r="N111" s="89"/>
    </row>
    <row r="112" spans="1:14" s="16" customFormat="1" ht="17.25" customHeight="1">
      <c r="A112" s="55">
        <v>94</v>
      </c>
      <c r="B112" s="144"/>
      <c r="C112" s="121" t="s">
        <v>23</v>
      </c>
      <c r="D112" s="121"/>
      <c r="E112" s="141">
        <v>411</v>
      </c>
      <c r="F112" s="142">
        <f>9912.11</f>
        <v>9912.11</v>
      </c>
      <c r="G112" s="105">
        <v>10000</v>
      </c>
      <c r="H112" s="143"/>
      <c r="I112" s="105"/>
      <c r="J112" s="126">
        <f t="shared" si="13"/>
        <v>9912.11</v>
      </c>
      <c r="K112" s="126">
        <f t="shared" si="14"/>
        <v>10000</v>
      </c>
      <c r="L112" s="118">
        <f t="shared" ref="L112:L117" si="17">K112/$K$149</f>
        <v>1.3550819140641624E-3</v>
      </c>
      <c r="M112" s="118">
        <f t="shared" si="8"/>
        <v>0.99121100000000006</v>
      </c>
      <c r="N112" s="112"/>
    </row>
    <row r="113" spans="1:14" s="16" customFormat="1" ht="15" customHeight="1">
      <c r="A113" s="55">
        <v>95</v>
      </c>
      <c r="B113" s="50"/>
      <c r="C113" s="52" t="s">
        <v>120</v>
      </c>
      <c r="D113" s="43"/>
      <c r="E113" s="94">
        <v>441</v>
      </c>
      <c r="F113" s="100"/>
      <c r="G113" s="102"/>
      <c r="H113" s="104"/>
      <c r="I113" s="102"/>
      <c r="J113" s="95">
        <f t="shared" si="13"/>
        <v>0</v>
      </c>
      <c r="K113" s="95">
        <f t="shared" si="14"/>
        <v>0</v>
      </c>
      <c r="L113" s="90">
        <f t="shared" si="17"/>
        <v>0</v>
      </c>
      <c r="M113" s="90" t="e">
        <f t="shared" si="8"/>
        <v>#DIV/0!</v>
      </c>
      <c r="N113" s="63"/>
    </row>
    <row r="114" spans="1:14" s="16" customFormat="1" ht="15" customHeight="1">
      <c r="A114" s="55">
        <v>96</v>
      </c>
      <c r="B114" s="50"/>
      <c r="C114" s="43" t="s">
        <v>103</v>
      </c>
      <c r="D114" s="43"/>
      <c r="E114" s="94">
        <v>442</v>
      </c>
      <c r="F114" s="100">
        <f>31655.3</f>
        <v>31655.3</v>
      </c>
      <c r="G114" s="102">
        <f>40000</f>
        <v>40000</v>
      </c>
      <c r="H114" s="104"/>
      <c r="I114" s="102"/>
      <c r="J114" s="95">
        <f t="shared" si="13"/>
        <v>31655.3</v>
      </c>
      <c r="K114" s="95">
        <f t="shared" si="14"/>
        <v>40000</v>
      </c>
      <c r="L114" s="90">
        <f t="shared" si="17"/>
        <v>5.4203276562566497E-3</v>
      </c>
      <c r="M114" s="90">
        <f t="shared" si="8"/>
        <v>0.79138249999999999</v>
      </c>
      <c r="N114" s="63"/>
    </row>
    <row r="115" spans="1:14" s="16" customFormat="1" ht="15" customHeight="1">
      <c r="A115" s="55">
        <v>97</v>
      </c>
      <c r="B115" s="50"/>
      <c r="C115" s="43" t="s">
        <v>35</v>
      </c>
      <c r="D115" s="43"/>
      <c r="E115" s="94">
        <v>430</v>
      </c>
      <c r="F115" s="100">
        <f>187658.86</f>
        <v>187658.86</v>
      </c>
      <c r="G115" s="102">
        <f>220000-I115-28801</f>
        <v>161199</v>
      </c>
      <c r="H115" s="104">
        <f>28083.84</f>
        <v>28083.84</v>
      </c>
      <c r="I115" s="102">
        <v>30000</v>
      </c>
      <c r="J115" s="95">
        <f t="shared" si="13"/>
        <v>215742.69999999998</v>
      </c>
      <c r="K115" s="95">
        <f t="shared" si="14"/>
        <v>191199</v>
      </c>
      <c r="L115" s="90">
        <f t="shared" si="17"/>
        <v>2.5909030688715379E-2</v>
      </c>
      <c r="M115" s="90">
        <f t="shared" si="8"/>
        <v>1.1283673031762718</v>
      </c>
      <c r="N115" s="274" t="s">
        <v>175</v>
      </c>
    </row>
    <row r="116" spans="1:14" s="16" customFormat="1" ht="15" customHeight="1">
      <c r="A116" s="55">
        <v>98</v>
      </c>
      <c r="B116" s="43"/>
      <c r="C116" s="46" t="s">
        <v>142</v>
      </c>
      <c r="D116" s="43"/>
      <c r="E116" s="99" t="s">
        <v>104</v>
      </c>
      <c r="F116" s="100">
        <f>4987.64+60885.45+30278.04+56762.16</f>
        <v>152913.29</v>
      </c>
      <c r="G116" s="102">
        <f>51000+10000+50000+31000-I116</f>
        <v>132000</v>
      </c>
      <c r="H116" s="104">
        <f>4092.19</f>
        <v>4092.19</v>
      </c>
      <c r="I116" s="102">
        <f>10000</f>
        <v>10000</v>
      </c>
      <c r="J116" s="96">
        <f t="shared" si="13"/>
        <v>157005.48000000001</v>
      </c>
      <c r="K116" s="96">
        <f t="shared" si="14"/>
        <v>142000</v>
      </c>
      <c r="L116" s="91">
        <f t="shared" si="17"/>
        <v>1.9242163179711107E-2</v>
      </c>
      <c r="M116" s="91">
        <f t="shared" ref="M116:M149" si="18">J116/K116</f>
        <v>1.1056723943661972</v>
      </c>
      <c r="N116" s="273" t="s">
        <v>178</v>
      </c>
    </row>
    <row r="117" spans="1:14" s="16" customFormat="1" ht="15" customHeight="1" thickBot="1">
      <c r="A117" s="162">
        <v>99</v>
      </c>
      <c r="B117" s="231"/>
      <c r="C117" s="231" t="s">
        <v>86</v>
      </c>
      <c r="D117" s="232"/>
      <c r="E117" s="233">
        <v>400</v>
      </c>
      <c r="F117" s="234">
        <f>SUM(F112:F116)</f>
        <v>382139.56</v>
      </c>
      <c r="G117" s="235">
        <f>SUM(G111:G116)</f>
        <v>343199</v>
      </c>
      <c r="H117" s="234">
        <f>SUM(H112:H116)</f>
        <v>32176.03</v>
      </c>
      <c r="I117" s="235">
        <f>SUM(I112:I116)</f>
        <v>40000</v>
      </c>
      <c r="J117" s="159">
        <f t="shared" si="13"/>
        <v>414315.58999999997</v>
      </c>
      <c r="K117" s="159">
        <f t="shared" si="14"/>
        <v>383199</v>
      </c>
      <c r="L117" s="160">
        <f t="shared" si="17"/>
        <v>5.1926603438747297E-2</v>
      </c>
      <c r="M117" s="160">
        <f t="shared" si="18"/>
        <v>1.081202169107957</v>
      </c>
      <c r="N117" s="161"/>
    </row>
    <row r="118" spans="1:14" s="16" customFormat="1" ht="17.25" customHeight="1" thickTop="1">
      <c r="A118" s="223">
        <v>100</v>
      </c>
      <c r="B118" s="224" t="s">
        <v>105</v>
      </c>
      <c r="C118" s="224"/>
      <c r="D118" s="224"/>
      <c r="E118" s="225"/>
      <c r="F118" s="226"/>
      <c r="G118" s="227"/>
      <c r="H118" s="228"/>
      <c r="I118" s="227"/>
      <c r="J118" s="229"/>
      <c r="K118" s="229"/>
      <c r="L118" s="230"/>
      <c r="M118" s="230"/>
      <c r="N118" s="127"/>
    </row>
    <row r="119" spans="1:14" s="16" customFormat="1" ht="17.25" customHeight="1">
      <c r="A119" s="55">
        <v>101</v>
      </c>
      <c r="B119" s="144"/>
      <c r="C119" s="120" t="s">
        <v>15</v>
      </c>
      <c r="D119" s="121"/>
      <c r="E119" s="141"/>
      <c r="F119" s="142">
        <f>589270</f>
        <v>589270</v>
      </c>
      <c r="G119" s="105">
        <v>884000</v>
      </c>
      <c r="H119" s="143">
        <f>185160</f>
        <v>185160</v>
      </c>
      <c r="I119" s="105"/>
      <c r="J119" s="126">
        <f t="shared" si="13"/>
        <v>774430</v>
      </c>
      <c r="K119" s="126">
        <f t="shared" si="14"/>
        <v>884000</v>
      </c>
      <c r="L119" s="118">
        <f t="shared" ref="L119:L124" si="19">K119/$K$149</f>
        <v>0.11978924120327196</v>
      </c>
      <c r="M119" s="118">
        <f t="shared" si="18"/>
        <v>0.876052036199095</v>
      </c>
      <c r="N119" s="280"/>
    </row>
    <row r="120" spans="1:14" s="16" customFormat="1" ht="15" customHeight="1">
      <c r="A120" s="55">
        <v>102</v>
      </c>
      <c r="B120" s="50"/>
      <c r="C120" s="43" t="s">
        <v>109</v>
      </c>
      <c r="D120" s="43"/>
      <c r="E120" s="94"/>
      <c r="F120" s="100">
        <f>62661.14+90791.2</f>
        <v>153452.34</v>
      </c>
      <c r="G120" s="102">
        <f>31087+42354.1+101623</f>
        <v>175064.1</v>
      </c>
      <c r="H120" s="104"/>
      <c r="I120" s="102"/>
      <c r="J120" s="95">
        <f t="shared" si="13"/>
        <v>153452.34</v>
      </c>
      <c r="K120" s="95">
        <f t="shared" si="14"/>
        <v>175064.1</v>
      </c>
      <c r="L120" s="90">
        <f t="shared" si="19"/>
        <v>2.3722619571191997E-2</v>
      </c>
      <c r="M120" s="90">
        <f t="shared" si="18"/>
        <v>0.87654944674550628</v>
      </c>
      <c r="N120" s="274" t="s">
        <v>190</v>
      </c>
    </row>
    <row r="121" spans="1:14" s="16" customFormat="1" ht="15" customHeight="1">
      <c r="A121" s="55">
        <v>103</v>
      </c>
      <c r="B121" s="43"/>
      <c r="C121" s="46" t="s">
        <v>121</v>
      </c>
      <c r="D121" s="43"/>
      <c r="E121" s="99"/>
      <c r="F121" s="100"/>
      <c r="G121" s="102">
        <v>0</v>
      </c>
      <c r="H121" s="104">
        <f>417536</f>
        <v>417536</v>
      </c>
      <c r="I121" s="279">
        <f>373384.14+10110</f>
        <v>383494.14</v>
      </c>
      <c r="J121" s="95">
        <f t="shared" si="13"/>
        <v>417536</v>
      </c>
      <c r="K121" s="95">
        <f t="shared" si="14"/>
        <v>383494.14</v>
      </c>
      <c r="L121" s="90">
        <f t="shared" si="19"/>
        <v>5.1966597326358992E-2</v>
      </c>
      <c r="M121" s="90">
        <f t="shared" si="18"/>
        <v>1.0887676145455574</v>
      </c>
      <c r="N121" s="274" t="s">
        <v>174</v>
      </c>
    </row>
    <row r="122" spans="1:14" s="16" customFormat="1" ht="15" customHeight="1">
      <c r="A122" s="55">
        <v>104</v>
      </c>
      <c r="B122" s="43"/>
      <c r="C122" s="43" t="s">
        <v>16</v>
      </c>
      <c r="D122" s="43"/>
      <c r="E122" s="94"/>
      <c r="F122" s="100"/>
      <c r="G122" s="102">
        <f>5000</f>
        <v>5000</v>
      </c>
      <c r="H122" s="104">
        <f>402.11</f>
        <v>402.11</v>
      </c>
      <c r="I122" s="105"/>
      <c r="J122" s="95">
        <f t="shared" si="13"/>
        <v>402.11</v>
      </c>
      <c r="K122" s="95">
        <f t="shared" si="14"/>
        <v>5000</v>
      </c>
      <c r="L122" s="90">
        <f t="shared" si="19"/>
        <v>6.7754095703208121E-4</v>
      </c>
      <c r="M122" s="90">
        <f t="shared" si="18"/>
        <v>8.0422000000000007E-2</v>
      </c>
      <c r="N122" s="274"/>
    </row>
    <row r="123" spans="1:14" s="16" customFormat="1" ht="15" customHeight="1">
      <c r="A123" s="55">
        <v>105</v>
      </c>
      <c r="B123" s="43"/>
      <c r="C123" s="46" t="s">
        <v>143</v>
      </c>
      <c r="D123" s="43"/>
      <c r="E123" s="94"/>
      <c r="F123" s="100">
        <f>24908.41+300+26655.51+184.15</f>
        <v>52048.07</v>
      </c>
      <c r="G123" s="102">
        <f>15000</f>
        <v>15000</v>
      </c>
      <c r="H123" s="104">
        <f>520+28950.12</f>
        <v>29470.12</v>
      </c>
      <c r="I123" s="102"/>
      <c r="J123" s="96">
        <f t="shared" si="13"/>
        <v>81518.19</v>
      </c>
      <c r="K123" s="96">
        <f t="shared" si="14"/>
        <v>15000</v>
      </c>
      <c r="L123" s="91">
        <f t="shared" si="19"/>
        <v>2.0326228710962437E-3</v>
      </c>
      <c r="M123" s="91">
        <f t="shared" si="18"/>
        <v>5.4345460000000001</v>
      </c>
      <c r="N123" s="274" t="s">
        <v>186</v>
      </c>
    </row>
    <row r="124" spans="1:14" s="16" customFormat="1" ht="15" customHeight="1">
      <c r="A124" s="163">
        <v>106</v>
      </c>
      <c r="B124" s="47"/>
      <c r="C124" s="47" t="s">
        <v>110</v>
      </c>
      <c r="D124" s="51"/>
      <c r="E124" s="97">
        <v>500</v>
      </c>
      <c r="F124" s="101">
        <f>SUM(F119:F123)</f>
        <v>794770.40999999992</v>
      </c>
      <c r="G124" s="103">
        <f>SUM(G119:G123)</f>
        <v>1079064.1000000001</v>
      </c>
      <c r="H124" s="101">
        <f>SUM(H118:H123)</f>
        <v>632568.23</v>
      </c>
      <c r="I124" s="103">
        <f>SUM(I119:I123)</f>
        <v>383494.14</v>
      </c>
      <c r="J124" s="74">
        <f t="shared" si="13"/>
        <v>1427338.64</v>
      </c>
      <c r="K124" s="74">
        <f t="shared" si="14"/>
        <v>1462558.2400000002</v>
      </c>
      <c r="L124" s="92">
        <f t="shared" si="19"/>
        <v>0.19818862192895131</v>
      </c>
      <c r="M124" s="92">
        <f t="shared" si="18"/>
        <v>0.97591918117394061</v>
      </c>
      <c r="N124" s="64"/>
    </row>
    <row r="125" spans="1:14" s="16" customFormat="1" ht="17.25" customHeight="1">
      <c r="A125" s="177">
        <v>107</v>
      </c>
      <c r="B125" s="44" t="s">
        <v>87</v>
      </c>
      <c r="C125" s="44"/>
      <c r="D125" s="44"/>
      <c r="E125" s="205"/>
      <c r="F125" s="209"/>
      <c r="G125" s="207"/>
      <c r="H125" s="208"/>
      <c r="I125" s="207"/>
      <c r="J125" s="206"/>
      <c r="K125" s="206"/>
      <c r="L125" s="93"/>
      <c r="M125" s="93"/>
      <c r="N125" s="89"/>
    </row>
    <row r="126" spans="1:14" s="16" customFormat="1" ht="17.25" customHeight="1">
      <c r="A126" s="55">
        <v>108</v>
      </c>
      <c r="B126" s="144"/>
      <c r="C126" s="145" t="s">
        <v>38</v>
      </c>
      <c r="D126" s="121"/>
      <c r="E126" s="141">
        <v>610</v>
      </c>
      <c r="F126" s="142">
        <f>75469.11</f>
        <v>75469.11</v>
      </c>
      <c r="G126" s="105">
        <f>100000</f>
        <v>100000</v>
      </c>
      <c r="H126" s="143">
        <f>395674</f>
        <v>395674</v>
      </c>
      <c r="I126" s="105">
        <f>'[1]Salaries 25-26'!$P$105+1693+2400+25000-7940</f>
        <v>30149.25</v>
      </c>
      <c r="J126" s="126">
        <f t="shared" si="13"/>
        <v>471143.11</v>
      </c>
      <c r="K126" s="126">
        <f t="shared" si="14"/>
        <v>130149.25</v>
      </c>
      <c r="L126" s="118">
        <f t="shared" ref="L126:L131" si="20">K126/$K$149</f>
        <v>1.763628948040152E-2</v>
      </c>
      <c r="M126" s="118">
        <f t="shared" si="18"/>
        <v>3.6200217058492461</v>
      </c>
      <c r="N126" s="280" t="s">
        <v>172</v>
      </c>
    </row>
    <row r="127" spans="1:14" s="16" customFormat="1" ht="15" customHeight="1">
      <c r="A127" s="55">
        <v>109</v>
      </c>
      <c r="B127" s="50"/>
      <c r="C127" s="52" t="s">
        <v>75</v>
      </c>
      <c r="D127" s="43"/>
      <c r="E127" s="94" t="s">
        <v>17</v>
      </c>
      <c r="F127" s="100">
        <f>601.47+130175.08</f>
        <v>130776.55</v>
      </c>
      <c r="G127" s="102">
        <f>150000</f>
        <v>150000</v>
      </c>
      <c r="H127" s="104"/>
      <c r="I127" s="102"/>
      <c r="J127" s="95">
        <f t="shared" si="13"/>
        <v>130776.55</v>
      </c>
      <c r="K127" s="95">
        <f t="shared" si="14"/>
        <v>150000</v>
      </c>
      <c r="L127" s="90">
        <f t="shared" si="20"/>
        <v>2.0326228710962436E-2</v>
      </c>
      <c r="M127" s="90">
        <f t="shared" si="18"/>
        <v>0.87184366666666668</v>
      </c>
      <c r="N127" s="273" t="s">
        <v>179</v>
      </c>
    </row>
    <row r="128" spans="1:14" s="16" customFormat="1" ht="15" customHeight="1">
      <c r="A128" s="55">
        <v>110</v>
      </c>
      <c r="B128" s="50"/>
      <c r="C128" s="52" t="s">
        <v>36</v>
      </c>
      <c r="D128" s="43"/>
      <c r="E128" s="94" t="s">
        <v>106</v>
      </c>
      <c r="F128" s="100">
        <f>15400.71</f>
        <v>15400.71</v>
      </c>
      <c r="G128" s="102">
        <f>20000</f>
        <v>20000</v>
      </c>
      <c r="H128" s="104"/>
      <c r="I128" s="102"/>
      <c r="J128" s="95">
        <f t="shared" si="13"/>
        <v>15400.71</v>
      </c>
      <c r="K128" s="95">
        <f t="shared" si="14"/>
        <v>20000</v>
      </c>
      <c r="L128" s="90">
        <f t="shared" si="20"/>
        <v>2.7101638281283248E-3</v>
      </c>
      <c r="M128" s="90">
        <f t="shared" si="18"/>
        <v>0.77003549999999998</v>
      </c>
      <c r="N128" s="274" t="s">
        <v>191</v>
      </c>
    </row>
    <row r="129" spans="1:14" s="16" customFormat="1" ht="15" customHeight="1">
      <c r="A129" s="55">
        <v>111</v>
      </c>
      <c r="B129" s="50"/>
      <c r="C129" s="43" t="s">
        <v>76</v>
      </c>
      <c r="D129" s="43"/>
      <c r="E129" s="94" t="s">
        <v>151</v>
      </c>
      <c r="F129" s="100"/>
      <c r="G129" s="102"/>
      <c r="H129" s="104"/>
      <c r="I129" s="102"/>
      <c r="J129" s="95">
        <f t="shared" si="13"/>
        <v>0</v>
      </c>
      <c r="K129" s="95">
        <f t="shared" si="14"/>
        <v>0</v>
      </c>
      <c r="L129" s="90">
        <f t="shared" si="20"/>
        <v>0</v>
      </c>
      <c r="M129" s="90" t="e">
        <f t="shared" si="18"/>
        <v>#DIV/0!</v>
      </c>
      <c r="N129" s="274"/>
    </row>
    <row r="130" spans="1:14" s="16" customFormat="1" ht="15" customHeight="1">
      <c r="A130" s="55">
        <v>112</v>
      </c>
      <c r="B130" s="50"/>
      <c r="C130" s="46" t="s">
        <v>144</v>
      </c>
      <c r="D130" s="43"/>
      <c r="E130" s="94" t="s">
        <v>37</v>
      </c>
      <c r="F130" s="100">
        <f>25924.49</f>
        <v>25924.49</v>
      </c>
      <c r="G130" s="102"/>
      <c r="H130" s="104">
        <f>81152.49</f>
        <v>81152.490000000005</v>
      </c>
      <c r="I130" s="102">
        <f>1550+1550</f>
        <v>3100</v>
      </c>
      <c r="J130" s="96">
        <f t="shared" si="13"/>
        <v>107076.98000000001</v>
      </c>
      <c r="K130" s="96">
        <f t="shared" si="14"/>
        <v>3100</v>
      </c>
      <c r="L130" s="91">
        <f t="shared" si="20"/>
        <v>4.2007539335989035E-4</v>
      </c>
      <c r="M130" s="91">
        <f t="shared" si="18"/>
        <v>34.540961290322585</v>
      </c>
      <c r="N130" s="274" t="s">
        <v>171</v>
      </c>
    </row>
    <row r="131" spans="1:14" s="16" customFormat="1" ht="15" customHeight="1">
      <c r="A131" s="163">
        <v>113</v>
      </c>
      <c r="B131" s="47"/>
      <c r="C131" s="47" t="s">
        <v>88</v>
      </c>
      <c r="D131" s="51"/>
      <c r="E131" s="97">
        <v>600</v>
      </c>
      <c r="F131" s="101">
        <f>SUM(F126:F130)</f>
        <v>247570.86</v>
      </c>
      <c r="G131" s="103">
        <f>SUM(G126:G130)</f>
        <v>270000</v>
      </c>
      <c r="H131" s="101">
        <f>SUM(H126:H130)</f>
        <v>476826.49</v>
      </c>
      <c r="I131" s="103">
        <f>SUM(I126:I130)</f>
        <v>33249.25</v>
      </c>
      <c r="J131" s="74">
        <f t="shared" si="13"/>
        <v>724397.35</v>
      </c>
      <c r="K131" s="74">
        <f t="shared" si="14"/>
        <v>303249.25</v>
      </c>
      <c r="L131" s="92">
        <f t="shared" si="20"/>
        <v>4.109275741285217E-2</v>
      </c>
      <c r="M131" s="92">
        <f t="shared" si="18"/>
        <v>2.3887852979026327</v>
      </c>
      <c r="N131" s="64"/>
    </row>
    <row r="132" spans="1:14" s="16" customFormat="1" ht="17.25" customHeight="1">
      <c r="A132" s="177">
        <v>114</v>
      </c>
      <c r="B132" s="44" t="s">
        <v>89</v>
      </c>
      <c r="C132" s="44"/>
      <c r="D132" s="44"/>
      <c r="E132" s="205"/>
      <c r="F132" s="209"/>
      <c r="G132" s="207"/>
      <c r="H132" s="208"/>
      <c r="I132" s="207"/>
      <c r="J132" s="206"/>
      <c r="K132" s="206"/>
      <c r="L132" s="93"/>
      <c r="M132" s="93"/>
      <c r="N132" s="89"/>
    </row>
    <row r="133" spans="1:14" s="16" customFormat="1" ht="17.25" customHeight="1">
      <c r="A133" s="55">
        <v>115</v>
      </c>
      <c r="B133" s="144"/>
      <c r="C133" s="120" t="s">
        <v>131</v>
      </c>
      <c r="D133" s="121"/>
      <c r="E133" s="141">
        <v>710</v>
      </c>
      <c r="F133" s="142"/>
      <c r="G133" s="105"/>
      <c r="H133" s="143"/>
      <c r="I133" s="105"/>
      <c r="J133" s="126">
        <f t="shared" si="13"/>
        <v>0</v>
      </c>
      <c r="K133" s="126">
        <f t="shared" si="14"/>
        <v>0</v>
      </c>
      <c r="L133" s="118">
        <f>K133/$K$149</f>
        <v>0</v>
      </c>
      <c r="M133" s="118" t="e">
        <f t="shared" si="18"/>
        <v>#DIV/0!</v>
      </c>
      <c r="N133" s="112"/>
    </row>
    <row r="134" spans="1:14" s="16" customFormat="1" ht="15" customHeight="1">
      <c r="A134" s="55">
        <v>116</v>
      </c>
      <c r="B134" s="50"/>
      <c r="C134" s="46" t="s">
        <v>77</v>
      </c>
      <c r="D134" s="43"/>
      <c r="E134" s="94">
        <v>720</v>
      </c>
      <c r="F134" s="100"/>
      <c r="G134" s="102"/>
      <c r="H134" s="104"/>
      <c r="I134" s="102"/>
      <c r="J134" s="95">
        <f t="shared" si="13"/>
        <v>0</v>
      </c>
      <c r="K134" s="95">
        <f t="shared" si="14"/>
        <v>0</v>
      </c>
      <c r="L134" s="90">
        <f>K134/$K$149</f>
        <v>0</v>
      </c>
      <c r="M134" s="90" t="e">
        <f t="shared" si="18"/>
        <v>#DIV/0!</v>
      </c>
      <c r="N134" s="63"/>
    </row>
    <row r="135" spans="1:14" s="16" customFormat="1" ht="15" customHeight="1">
      <c r="A135" s="55">
        <v>117</v>
      </c>
      <c r="B135" s="50"/>
      <c r="C135" s="52" t="s">
        <v>18</v>
      </c>
      <c r="D135" s="43"/>
      <c r="E135" s="94" t="s">
        <v>132</v>
      </c>
      <c r="F135" s="100">
        <v>19679.02</v>
      </c>
      <c r="G135" s="102">
        <f>20000</f>
        <v>20000</v>
      </c>
      <c r="H135" s="104">
        <f>70168.65</f>
        <v>70168.649999999994</v>
      </c>
      <c r="I135" s="102"/>
      <c r="J135" s="67">
        <f t="shared" si="13"/>
        <v>89847.67</v>
      </c>
      <c r="K135" s="67">
        <f t="shared" si="14"/>
        <v>20000</v>
      </c>
      <c r="L135" s="90">
        <f>K135/$K$149</f>
        <v>2.7101638281283248E-3</v>
      </c>
      <c r="M135" s="90">
        <f t="shared" si="18"/>
        <v>4.4923834999999999</v>
      </c>
      <c r="N135" s="274" t="s">
        <v>194</v>
      </c>
    </row>
    <row r="136" spans="1:14" s="16" customFormat="1" ht="15" customHeight="1">
      <c r="A136" s="55">
        <v>118</v>
      </c>
      <c r="B136" s="43"/>
      <c r="C136" s="52" t="s">
        <v>145</v>
      </c>
      <c r="D136" s="43"/>
      <c r="E136" s="94" t="s">
        <v>133</v>
      </c>
      <c r="F136" s="100"/>
      <c r="G136" s="102"/>
      <c r="H136" s="104"/>
      <c r="I136" s="102"/>
      <c r="J136" s="96">
        <f t="shared" si="13"/>
        <v>0</v>
      </c>
      <c r="K136" s="96">
        <f t="shared" si="14"/>
        <v>0</v>
      </c>
      <c r="L136" s="91">
        <f>K136/$K$149</f>
        <v>0</v>
      </c>
      <c r="M136" s="91" t="e">
        <f t="shared" si="18"/>
        <v>#DIV/0!</v>
      </c>
      <c r="N136" s="274"/>
    </row>
    <row r="137" spans="1:14" s="16" customFormat="1" ht="15" customHeight="1">
      <c r="A137" s="163">
        <v>119</v>
      </c>
      <c r="B137" s="47"/>
      <c r="C137" s="47" t="s">
        <v>90</v>
      </c>
      <c r="D137" s="51"/>
      <c r="E137" s="97">
        <v>700</v>
      </c>
      <c r="F137" s="101">
        <f>SUM(F133:F136)</f>
        <v>19679.02</v>
      </c>
      <c r="G137" s="103">
        <f>SUM(G135:G136)</f>
        <v>20000</v>
      </c>
      <c r="H137" s="101">
        <f>SUM(H133:H136)</f>
        <v>70168.649999999994</v>
      </c>
      <c r="I137" s="103">
        <f>SUM(I133:I136)</f>
        <v>0</v>
      </c>
      <c r="J137" s="74">
        <f t="shared" si="13"/>
        <v>89847.67</v>
      </c>
      <c r="K137" s="74">
        <f t="shared" si="14"/>
        <v>20000</v>
      </c>
      <c r="L137" s="92">
        <f>K137/$K$149</f>
        <v>2.7101638281283248E-3</v>
      </c>
      <c r="M137" s="92">
        <f t="shared" si="18"/>
        <v>4.4923834999999999</v>
      </c>
      <c r="N137" s="64"/>
    </row>
    <row r="138" spans="1:14" s="16" customFormat="1" ht="17.25" customHeight="1">
      <c r="A138" s="177">
        <v>120</v>
      </c>
      <c r="B138" s="44" t="s">
        <v>91</v>
      </c>
      <c r="C138" s="44"/>
      <c r="D138" s="44"/>
      <c r="E138" s="205"/>
      <c r="F138" s="209"/>
      <c r="G138" s="207"/>
      <c r="H138" s="208"/>
      <c r="I138" s="207"/>
      <c r="J138" s="206"/>
      <c r="K138" s="206"/>
      <c r="L138" s="93"/>
      <c r="M138" s="93"/>
      <c r="N138" s="89"/>
    </row>
    <row r="139" spans="1:14" s="16" customFormat="1" ht="17.25" customHeight="1">
      <c r="A139" s="55">
        <v>121</v>
      </c>
      <c r="B139" s="144"/>
      <c r="C139" s="145" t="s">
        <v>137</v>
      </c>
      <c r="D139" s="121"/>
      <c r="E139" s="141">
        <v>810</v>
      </c>
      <c r="F139" s="142">
        <f>100889.54+428</f>
        <v>101317.54</v>
      </c>
      <c r="G139" s="105">
        <v>109000</v>
      </c>
      <c r="H139" s="143"/>
      <c r="I139" s="105"/>
      <c r="J139" s="126">
        <f>H139+F139</f>
        <v>101317.54</v>
      </c>
      <c r="K139" s="126">
        <f>I139+G139</f>
        <v>109000</v>
      </c>
      <c r="L139" s="118">
        <f>K139/$K$149</f>
        <v>1.4770392863299371E-2</v>
      </c>
      <c r="M139" s="118">
        <f>J139/K139</f>
        <v>0.92951871559633026</v>
      </c>
      <c r="N139" s="274" t="s">
        <v>196</v>
      </c>
    </row>
    <row r="140" spans="1:14" s="16" customFormat="1" ht="15" customHeight="1">
      <c r="A140" s="55">
        <v>122</v>
      </c>
      <c r="B140" s="144"/>
      <c r="C140" s="120" t="s">
        <v>24</v>
      </c>
      <c r="D140" s="121"/>
      <c r="E140" s="141">
        <v>830</v>
      </c>
      <c r="F140" s="142"/>
      <c r="G140" s="105"/>
      <c r="H140" s="143"/>
      <c r="I140" s="105"/>
      <c r="J140" s="126">
        <f t="shared" si="13"/>
        <v>0</v>
      </c>
      <c r="K140" s="126">
        <f t="shared" si="14"/>
        <v>0</v>
      </c>
      <c r="L140" s="118">
        <f>K140/$K$149</f>
        <v>0</v>
      </c>
      <c r="M140" s="118" t="e">
        <f t="shared" si="18"/>
        <v>#DIV/0!</v>
      </c>
      <c r="N140" s="112"/>
    </row>
    <row r="141" spans="1:14" s="16" customFormat="1" ht="15" customHeight="1">
      <c r="A141" s="55">
        <v>123</v>
      </c>
      <c r="B141" s="144"/>
      <c r="C141" s="120" t="s">
        <v>136</v>
      </c>
      <c r="D141" s="121"/>
      <c r="E141" s="141">
        <v>831</v>
      </c>
      <c r="F141" s="142"/>
      <c r="G141" s="105"/>
      <c r="H141" s="143"/>
      <c r="I141" s="105"/>
      <c r="J141" s="126">
        <f>H141+F141</f>
        <v>0</v>
      </c>
      <c r="K141" s="126">
        <f>I141+G141</f>
        <v>0</v>
      </c>
      <c r="L141" s="118">
        <f>K141/$K$149</f>
        <v>0</v>
      </c>
      <c r="M141" s="118" t="e">
        <f>J141/K141</f>
        <v>#DIV/0!</v>
      </c>
      <c r="N141" s="280"/>
    </row>
    <row r="142" spans="1:14" s="16" customFormat="1" ht="15" customHeight="1">
      <c r="A142" s="55">
        <v>124</v>
      </c>
      <c r="B142" s="50"/>
      <c r="C142" s="46" t="s">
        <v>146</v>
      </c>
      <c r="D142" s="43"/>
      <c r="E142" s="94" t="s">
        <v>134</v>
      </c>
      <c r="F142" s="100"/>
      <c r="G142" s="102"/>
      <c r="H142" s="104"/>
      <c r="I142" s="102"/>
      <c r="J142" s="96">
        <f t="shared" si="13"/>
        <v>0</v>
      </c>
      <c r="K142" s="96">
        <f t="shared" si="14"/>
        <v>0</v>
      </c>
      <c r="L142" s="91">
        <f>K142/$K$149</f>
        <v>0</v>
      </c>
      <c r="M142" s="91" t="e">
        <f t="shared" si="18"/>
        <v>#DIV/0!</v>
      </c>
      <c r="N142" s="274"/>
    </row>
    <row r="143" spans="1:14" s="16" customFormat="1" ht="15" customHeight="1">
      <c r="A143" s="163">
        <v>125</v>
      </c>
      <c r="B143" s="47"/>
      <c r="C143" s="47" t="s">
        <v>92</v>
      </c>
      <c r="D143" s="51"/>
      <c r="E143" s="97">
        <v>800</v>
      </c>
      <c r="F143" s="101">
        <f>SUM(F139:F142)</f>
        <v>101317.54</v>
      </c>
      <c r="G143" s="103">
        <f>SUM(G139:G142)</f>
        <v>109000</v>
      </c>
      <c r="H143" s="101">
        <f>SUM(H139:H142)</f>
        <v>0</v>
      </c>
      <c r="I143" s="103">
        <f>SUM(I139:I142)</f>
        <v>0</v>
      </c>
      <c r="J143" s="74">
        <f t="shared" si="13"/>
        <v>101317.54</v>
      </c>
      <c r="K143" s="74">
        <f t="shared" si="14"/>
        <v>109000</v>
      </c>
      <c r="L143" s="92">
        <f>K143/$K$149</f>
        <v>1.4770392863299371E-2</v>
      </c>
      <c r="M143" s="92">
        <f t="shared" si="18"/>
        <v>0.92951871559633026</v>
      </c>
      <c r="N143" s="64"/>
    </row>
    <row r="144" spans="1:14" s="16" customFormat="1" ht="17.25" customHeight="1">
      <c r="A144" s="177">
        <v>126</v>
      </c>
      <c r="B144" s="44" t="s">
        <v>94</v>
      </c>
      <c r="C144" s="44"/>
      <c r="D144" s="44"/>
      <c r="E144" s="205"/>
      <c r="F144" s="209"/>
      <c r="G144" s="207"/>
      <c r="H144" s="208"/>
      <c r="I144" s="207"/>
      <c r="J144" s="206"/>
      <c r="K144" s="206"/>
      <c r="L144" s="93"/>
      <c r="M144" s="93"/>
      <c r="N144" s="89"/>
    </row>
    <row r="145" spans="1:14" s="16" customFormat="1" ht="17.25" customHeight="1">
      <c r="A145" s="55">
        <v>127</v>
      </c>
      <c r="B145" s="50"/>
      <c r="C145" s="43" t="s">
        <v>19</v>
      </c>
      <c r="D145" s="43"/>
      <c r="E145" s="94">
        <v>933</v>
      </c>
      <c r="F145" s="100"/>
      <c r="G145" s="102"/>
      <c r="H145" s="104"/>
      <c r="I145" s="102"/>
      <c r="J145" s="95">
        <f t="shared" si="13"/>
        <v>0</v>
      </c>
      <c r="K145" s="95">
        <f t="shared" si="14"/>
        <v>0</v>
      </c>
      <c r="L145" s="90">
        <f>K145/$K$149</f>
        <v>0</v>
      </c>
      <c r="M145" s="90" t="e">
        <f t="shared" si="18"/>
        <v>#DIV/0!</v>
      </c>
      <c r="N145" s="63"/>
    </row>
    <row r="146" spans="1:14" s="16" customFormat="1" ht="15" customHeight="1">
      <c r="A146" s="55">
        <v>128</v>
      </c>
      <c r="B146" s="50"/>
      <c r="C146" s="43" t="s">
        <v>147</v>
      </c>
      <c r="D146" s="43"/>
      <c r="E146" s="94" t="s">
        <v>135</v>
      </c>
      <c r="F146" s="100"/>
      <c r="G146" s="102"/>
      <c r="H146" s="104"/>
      <c r="I146" s="102"/>
      <c r="J146" s="95">
        <f>H146+F146</f>
        <v>0</v>
      </c>
      <c r="K146" s="95">
        <f>I146+G146</f>
        <v>0</v>
      </c>
      <c r="L146" s="90">
        <f>K146/$K$149</f>
        <v>0</v>
      </c>
      <c r="M146" s="90" t="e">
        <f>J146/K146</f>
        <v>#DIV/0!</v>
      </c>
      <c r="N146" s="63"/>
    </row>
    <row r="147" spans="1:14" s="16" customFormat="1" ht="15" customHeight="1">
      <c r="A147" s="55">
        <v>129</v>
      </c>
      <c r="B147" s="43"/>
      <c r="C147" s="52"/>
      <c r="D147" s="43"/>
      <c r="E147" s="94"/>
      <c r="F147" s="100"/>
      <c r="G147" s="102"/>
      <c r="H147" s="104"/>
      <c r="I147" s="102"/>
      <c r="J147" s="96">
        <f t="shared" si="13"/>
        <v>0</v>
      </c>
      <c r="K147" s="96">
        <f t="shared" si="14"/>
        <v>0</v>
      </c>
      <c r="L147" s="91">
        <f>K147/$K$149</f>
        <v>0</v>
      </c>
      <c r="M147" s="91" t="e">
        <f t="shared" si="18"/>
        <v>#DIV/0!</v>
      </c>
      <c r="N147" s="63"/>
    </row>
    <row r="148" spans="1:14" s="16" customFormat="1" ht="15" customHeight="1">
      <c r="A148" s="163">
        <v>130</v>
      </c>
      <c r="B148" s="47"/>
      <c r="C148" s="47" t="s">
        <v>93</v>
      </c>
      <c r="D148" s="51"/>
      <c r="E148" s="97">
        <v>900</v>
      </c>
      <c r="F148" s="101"/>
      <c r="G148" s="103"/>
      <c r="H148" s="101"/>
      <c r="I148" s="103"/>
      <c r="J148" s="74">
        <f t="shared" si="13"/>
        <v>0</v>
      </c>
      <c r="K148" s="74">
        <f t="shared" si="14"/>
        <v>0</v>
      </c>
      <c r="L148" s="92">
        <f>K148/$K$149</f>
        <v>0</v>
      </c>
      <c r="M148" s="92" t="e">
        <f t="shared" si="18"/>
        <v>#DIV/0!</v>
      </c>
      <c r="N148" s="64"/>
    </row>
    <row r="149" spans="1:14" s="16" customFormat="1" ht="17.25" customHeight="1" thickBot="1">
      <c r="A149" s="162">
        <v>131</v>
      </c>
      <c r="B149" s="154"/>
      <c r="C149" s="154"/>
      <c r="D149" s="155" t="s">
        <v>20</v>
      </c>
      <c r="E149" s="156" t="s">
        <v>21</v>
      </c>
      <c r="F149" s="157">
        <f>SUM(F95,F104,F110,F117,F124,F131,F137,F143)</f>
        <v>5514328.4900000002</v>
      </c>
      <c r="G149" s="158">
        <f>SUM(G95,G104,G110,G117,G124,G131,G137,G143)</f>
        <v>6170783.9967489503</v>
      </c>
      <c r="H149" s="157">
        <f>SUM(H95,H104,H110,H117,H124,H131,H137,H143)</f>
        <v>2408702.39</v>
      </c>
      <c r="I149" s="158">
        <f>SUM(I95,I104,I110,I117,I124,I131,I137,I143)</f>
        <v>1208843.682</v>
      </c>
      <c r="J149" s="159">
        <f>H149+F149</f>
        <v>7923030.8800000008</v>
      </c>
      <c r="K149" s="159">
        <f t="shared" si="14"/>
        <v>7379627.6787489504</v>
      </c>
      <c r="L149" s="160">
        <f>K149/$K$149</f>
        <v>1</v>
      </c>
      <c r="M149" s="160">
        <f t="shared" si="18"/>
        <v>1.0736355850059867</v>
      </c>
      <c r="N149" s="161"/>
    </row>
    <row r="150" spans="1:14" s="17" customFormat="1" ht="17.25" customHeight="1" thickTop="1" thickBot="1">
      <c r="A150" s="24"/>
      <c r="B150" s="30"/>
      <c r="C150" s="30"/>
      <c r="D150" s="30"/>
      <c r="E150" s="16"/>
      <c r="F150" s="29"/>
      <c r="G150" s="32"/>
      <c r="H150" s="32"/>
      <c r="I150" s="32"/>
    </row>
    <row r="151" spans="1:14" s="26" customFormat="1" ht="15" customHeight="1" thickTop="1" thickBot="1">
      <c r="A151" s="24"/>
      <c r="B151" s="17"/>
      <c r="C151" s="16"/>
      <c r="D151" s="18"/>
      <c r="E151" s="56" t="s">
        <v>111</v>
      </c>
      <c r="F151" s="236">
        <f>F83-F149</f>
        <v>730751.71999999974</v>
      </c>
      <c r="G151" s="237">
        <f>G83-G149</f>
        <v>0.20325104985386133</v>
      </c>
      <c r="H151" s="237">
        <f>H83-H149</f>
        <v>33970.159999999683</v>
      </c>
      <c r="I151" s="238">
        <f>I83-I149</f>
        <v>0.31799999997019768</v>
      </c>
      <c r="J151" s="57">
        <f t="shared" ref="J151:K153" si="21">F151+H151</f>
        <v>764721.87999999942</v>
      </c>
      <c r="K151" s="58">
        <f t="shared" si="21"/>
        <v>0.52125104982405901</v>
      </c>
      <c r="L151" s="17"/>
      <c r="M151" s="17"/>
      <c r="N151" s="17"/>
    </row>
    <row r="152" spans="1:14" s="17" customFormat="1" ht="21" customHeight="1" thickTop="1" thickBot="1">
      <c r="A152" s="24"/>
      <c r="C152" s="16"/>
      <c r="D152" s="18"/>
      <c r="E152" s="56" t="s">
        <v>112</v>
      </c>
      <c r="F152" s="243">
        <f>10.1+6458081.14</f>
        <v>6458091.2399999993</v>
      </c>
      <c r="G152" s="244">
        <f>F153</f>
        <v>7188842.959999999</v>
      </c>
      <c r="H152" s="242"/>
      <c r="I152" s="245">
        <f>H153</f>
        <v>33970.159999999683</v>
      </c>
      <c r="J152" s="59">
        <f>F152+H152</f>
        <v>6458091.2399999993</v>
      </c>
      <c r="K152" s="60">
        <f>G152+I152</f>
        <v>7222813.1199999992</v>
      </c>
    </row>
    <row r="153" spans="1:14" s="17" customFormat="1" ht="18.75" customHeight="1" thickTop="1">
      <c r="A153" s="24"/>
      <c r="C153" s="16"/>
      <c r="D153" s="18"/>
      <c r="E153" s="56" t="s">
        <v>113</v>
      </c>
      <c r="F153" s="239">
        <f>SUM(F151:F152)</f>
        <v>7188842.959999999</v>
      </c>
      <c r="G153" s="240">
        <f>SUM(G151:G152)</f>
        <v>7188843.1632510489</v>
      </c>
      <c r="H153" s="240">
        <f>SUM(H151:H152)</f>
        <v>33970.159999999683</v>
      </c>
      <c r="I153" s="241">
        <f>SUM(I151:I152)</f>
        <v>33970.477999999654</v>
      </c>
      <c r="J153" s="61">
        <f t="shared" si="21"/>
        <v>7222813.1199999992</v>
      </c>
      <c r="K153" s="62">
        <f>G153+I153</f>
        <v>7222813.6412510481</v>
      </c>
    </row>
    <row r="154" spans="1:14" s="17" customFormat="1" ht="18.75" customHeight="1">
      <c r="A154" s="24"/>
      <c r="C154" s="16"/>
      <c r="D154" s="18"/>
      <c r="E154" s="19"/>
      <c r="F154" s="23"/>
      <c r="G154" s="23"/>
      <c r="H154" s="25"/>
      <c r="I154" s="23"/>
    </row>
    <row r="155" spans="1:14" s="17" customFormat="1" ht="18.75" customHeight="1">
      <c r="A155" s="24"/>
      <c r="C155" s="16"/>
      <c r="D155" s="18"/>
      <c r="E155" s="19"/>
      <c r="F155" s="23"/>
      <c r="G155" s="23"/>
      <c r="H155" s="25"/>
      <c r="I155" s="23"/>
    </row>
    <row r="156" spans="1:14" s="17" customFormat="1" ht="18.75" customHeight="1">
      <c r="A156" s="24"/>
      <c r="C156" s="16"/>
      <c r="D156" s="18"/>
      <c r="E156" s="19"/>
      <c r="F156" s="20"/>
    </row>
    <row r="157" spans="1:14" s="17" customFormat="1" ht="15" customHeight="1">
      <c r="A157" s="24"/>
      <c r="B157" s="16"/>
      <c r="C157" s="16"/>
      <c r="D157" s="22"/>
      <c r="E157" s="23"/>
      <c r="F157" s="16"/>
      <c r="G157" s="16"/>
      <c r="H157" s="27"/>
      <c r="I157" s="29"/>
      <c r="J157" s="16"/>
      <c r="K157" s="16"/>
      <c r="L157" s="16"/>
      <c r="M157" s="16"/>
      <c r="N157" s="16"/>
    </row>
    <row r="158" spans="1:14" s="16" customFormat="1" ht="15" customHeight="1">
      <c r="A158" s="24"/>
      <c r="H158" s="28"/>
      <c r="I158" s="29"/>
    </row>
    <row r="159" spans="1:14" s="16" customFormat="1" ht="15" customHeight="1">
      <c r="A159" s="24"/>
      <c r="H159" s="27"/>
      <c r="I159" s="29"/>
    </row>
    <row r="160" spans="1:14" s="16" customFormat="1" ht="15" customHeight="1">
      <c r="A160" s="24"/>
    </row>
    <row r="161" spans="1:14" s="16" customFormat="1" ht="15" customHeight="1">
      <c r="A161" s="24"/>
    </row>
    <row r="162" spans="1:14" s="16" customFormat="1" ht="15" customHeight="1">
      <c r="A162" s="21"/>
    </row>
    <row r="163" spans="1:14" s="16" customFormat="1" ht="15" customHeight="1">
      <c r="A163" s="21"/>
    </row>
    <row r="164" spans="1:14" s="16" customFormat="1" ht="15" customHeight="1">
      <c r="A164" s="21"/>
    </row>
    <row r="165" spans="1:14" s="16" customFormat="1" ht="15" customHeight="1">
      <c r="A165" s="21"/>
    </row>
    <row r="166" spans="1:14" s="16" customFormat="1" ht="15" customHeight="1">
      <c r="A166" s="21"/>
    </row>
    <row r="167" spans="1:14" s="16" customFormat="1" ht="15" customHeight="1">
      <c r="A167" s="21"/>
    </row>
    <row r="168" spans="1:14" s="16" customFormat="1" ht="15" customHeight="1">
      <c r="A168" s="21"/>
    </row>
    <row r="169" spans="1:14" s="16" customFormat="1" ht="15" customHeight="1">
      <c r="A169" s="21"/>
    </row>
    <row r="170" spans="1:14" s="16" customFormat="1" ht="15" customHeight="1">
      <c r="A170" s="21"/>
    </row>
    <row r="171" spans="1:14" s="16" customFormat="1" ht="15" customHeight="1">
      <c r="A171" s="21"/>
    </row>
    <row r="172" spans="1:14" s="16" customFormat="1" ht="15" customHeight="1">
      <c r="A172" s="21"/>
    </row>
    <row r="173" spans="1:14" s="16" customFormat="1" ht="15" customHeight="1">
      <c r="A173" s="21"/>
    </row>
    <row r="174" spans="1:14" s="16" customFormat="1" ht="15" customHeight="1">
      <c r="A174" s="21"/>
    </row>
    <row r="175" spans="1:14" s="16" customFormat="1" ht="15" customHeight="1">
      <c r="A175" s="21"/>
    </row>
    <row r="176" spans="1:14" s="16" customFormat="1" ht="15" customHeight="1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</row>
    <row r="177" spans="1:14" s="7" customFormat="1" ht="15" customHeight="1">
      <c r="A177" s="14"/>
    </row>
    <row r="178" spans="1:14" s="7" customFormat="1" ht="15" customHeight="1">
      <c r="A178" s="14"/>
    </row>
    <row r="179" spans="1:14" s="7" customFormat="1" ht="15" customHeight="1">
      <c r="A179" s="14"/>
    </row>
    <row r="180" spans="1:14" s="7" customFormat="1" ht="15" customHeight="1">
      <c r="A180" s="14"/>
    </row>
    <row r="181" spans="1:14" s="7" customFormat="1" ht="15" customHeight="1">
      <c r="A181" s="14"/>
    </row>
    <row r="182" spans="1:14" s="7" customFormat="1" ht="15" customHeight="1">
      <c r="A182" s="14"/>
    </row>
    <row r="183" spans="1:14" s="7" customFormat="1" ht="15" customHeight="1">
      <c r="A183" s="14"/>
    </row>
    <row r="184" spans="1:14" s="7" customFormat="1" ht="15" customHeight="1">
      <c r="A184" s="14"/>
    </row>
    <row r="185" spans="1:14" s="7" customFormat="1" ht="15" customHeight="1">
      <c r="A185" s="14"/>
    </row>
    <row r="186" spans="1:14" s="7" customFormat="1" ht="15" customHeight="1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</sheetData>
  <sheetProtection insertRows="0"/>
  <mergeCells count="23">
    <mergeCell ref="B84:D84"/>
    <mergeCell ref="G9:G11"/>
    <mergeCell ref="E9:E11"/>
    <mergeCell ref="B7:D11"/>
    <mergeCell ref="F9:F11"/>
    <mergeCell ref="B12:D12"/>
    <mergeCell ref="A1:N1"/>
    <mergeCell ref="A2:N2"/>
    <mergeCell ref="A3:N3"/>
    <mergeCell ref="H5:I6"/>
    <mergeCell ref="D5:D6"/>
    <mergeCell ref="N4:N5"/>
    <mergeCell ref="N9:N11"/>
    <mergeCell ref="H7:I8"/>
    <mergeCell ref="A45:N45"/>
    <mergeCell ref="M9:M11"/>
    <mergeCell ref="L9:L11"/>
    <mergeCell ref="H9:H11"/>
    <mergeCell ref="I9:I11"/>
    <mergeCell ref="J9:J11"/>
    <mergeCell ref="K9:K11"/>
    <mergeCell ref="F7:G8"/>
    <mergeCell ref="E7:E8"/>
  </mergeCells>
  <phoneticPr fontId="0" type="noConversion"/>
  <hyperlinks>
    <hyperlink ref="N18" r:id="rId1" xr:uid="{99573E9A-F9C4-41B5-8E33-F9FC13CD3628}"/>
    <hyperlink ref="N27" r:id="rId2" xr:uid="{EF2807A1-546A-41C5-BE7C-0B2928A0EA93}"/>
  </hyperlinks>
  <printOptions horizontalCentered="1"/>
  <pageMargins left="0" right="0" top="0.5" bottom="0.25" header="0.25" footer="0.15"/>
  <pageSetup paperSize="5" scale="61" orientation="landscape" r:id="rId3"/>
  <headerFooter alignWithMargins="0">
    <oddFooter>&amp;L&amp;9&amp;F&amp;C&amp;10Division of Education Finance&amp;12
&amp;R&amp;P of &amp;N</oddFooter>
  </headerFooter>
  <rowBreaks count="3" manualBreakCount="3">
    <brk id="46" max="13" man="1"/>
    <brk id="83" max="13" man="1"/>
    <brk id="117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E52"/>
  <sheetViews>
    <sheetView showGridLines="0" defaultGridColor="0" view="pageBreakPreview" colorId="22" zoomScale="80" zoomScaleNormal="68" zoomScaleSheetLayoutView="80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E12" sqref="E12"/>
    </sheetView>
  </sheetViews>
  <sheetFormatPr defaultColWidth="11.44140625" defaultRowHeight="15"/>
  <cols>
    <col min="1" max="1" width="3.21875" style="250" customWidth="1"/>
    <col min="2" max="2" width="2" style="1" customWidth="1"/>
    <col min="3" max="3" width="2.5546875" style="1" customWidth="1"/>
    <col min="4" max="4" width="45.21875" style="1" customWidth="1"/>
    <col min="5" max="5" width="21.88671875" style="1" customWidth="1"/>
    <col min="6" max="16384" width="11.44140625" style="1"/>
  </cols>
  <sheetData>
    <row r="1" spans="1:5" ht="21.95" customHeight="1">
      <c r="A1" s="311" t="s">
        <v>153</v>
      </c>
      <c r="B1" s="311"/>
      <c r="C1" s="311"/>
      <c r="D1" s="311"/>
      <c r="E1" s="311"/>
    </row>
    <row r="2" spans="1:5" ht="19.899999999999999" customHeight="1">
      <c r="A2" s="311" t="s">
        <v>195</v>
      </c>
      <c r="B2" s="311"/>
      <c r="C2" s="311"/>
      <c r="D2" s="311"/>
      <c r="E2" s="311"/>
    </row>
    <row r="3" spans="1:5" ht="19.899999999999999" customHeight="1">
      <c r="A3" s="311"/>
      <c r="B3" s="312"/>
      <c r="C3" s="312"/>
      <c r="D3" s="312"/>
      <c r="E3" s="312"/>
    </row>
    <row r="4" spans="1:5" ht="19.899999999999999" customHeight="1" thickBot="1">
      <c r="B4" s="2"/>
      <c r="C4" s="2"/>
      <c r="D4" s="2"/>
      <c r="E4" s="2"/>
    </row>
    <row r="5" spans="1:5" ht="20.25" customHeight="1" thickTop="1">
      <c r="A5" s="251"/>
      <c r="C5" s="12" t="s">
        <v>0</v>
      </c>
      <c r="D5" s="317" t="s">
        <v>164</v>
      </c>
    </row>
    <row r="6" spans="1:5" ht="21.75" customHeight="1" thickBot="1">
      <c r="D6" s="318"/>
    </row>
    <row r="7" spans="1:5" ht="9.9499999999999993" customHeight="1" thickTop="1">
      <c r="A7" s="252"/>
      <c r="B7" s="326" t="s">
        <v>154</v>
      </c>
      <c r="C7" s="326"/>
      <c r="D7" s="327"/>
      <c r="E7" s="307" t="s">
        <v>155</v>
      </c>
    </row>
    <row r="8" spans="1:5" ht="9.9499999999999993" customHeight="1">
      <c r="A8" s="253"/>
      <c r="B8" s="328"/>
      <c r="C8" s="328"/>
      <c r="D8" s="329"/>
      <c r="E8" s="308"/>
    </row>
    <row r="9" spans="1:5" ht="16.5" customHeight="1">
      <c r="A9" s="253"/>
      <c r="B9" s="328"/>
      <c r="C9" s="328"/>
      <c r="D9" s="329"/>
      <c r="E9" s="298" t="s">
        <v>197</v>
      </c>
    </row>
    <row r="10" spans="1:5" ht="15" customHeight="1">
      <c r="A10" s="253"/>
      <c r="B10" s="328"/>
      <c r="C10" s="328"/>
      <c r="D10" s="329"/>
      <c r="E10" s="299"/>
    </row>
    <row r="11" spans="1:5" ht="32.25" customHeight="1" thickBot="1">
      <c r="A11" s="254"/>
      <c r="B11" s="330"/>
      <c r="C11" s="330"/>
      <c r="D11" s="331"/>
      <c r="E11" s="300"/>
    </row>
    <row r="12" spans="1:5" s="15" customFormat="1" ht="25.5" customHeight="1" thickTop="1">
      <c r="A12" s="53"/>
      <c r="B12" s="334"/>
      <c r="C12" s="335"/>
      <c r="D12" s="336"/>
      <c r="E12" s="179"/>
    </row>
    <row r="13" spans="1:5" s="7" customFormat="1" ht="18" customHeight="1">
      <c r="A13" s="175">
        <v>1</v>
      </c>
      <c r="B13" s="135" t="s">
        <v>156</v>
      </c>
      <c r="C13" s="135"/>
      <c r="D13" s="135"/>
      <c r="E13" s="255"/>
    </row>
    <row r="14" spans="1:5" s="7" customFormat="1" ht="14.25">
      <c r="A14" s="256">
        <v>2</v>
      </c>
      <c r="B14" s="257"/>
      <c r="C14" s="258" t="s">
        <v>157</v>
      </c>
      <c r="D14" s="258"/>
      <c r="E14" s="259">
        <f>'Annual FY25-26'!J153</f>
        <v>7222813.1199999992</v>
      </c>
    </row>
    <row r="15" spans="1:5" s="7" customFormat="1" ht="14.25">
      <c r="A15" s="256">
        <v>3</v>
      </c>
      <c r="B15" s="260"/>
      <c r="C15" s="261" t="s">
        <v>158</v>
      </c>
      <c r="D15" s="261"/>
      <c r="E15" s="262">
        <f>'Annual FY25-26'!J149</f>
        <v>7923030.8800000008</v>
      </c>
    </row>
    <row r="16" spans="1:5" s="7" customFormat="1" ht="18" customHeight="1">
      <c r="A16" s="164">
        <v>4</v>
      </c>
      <c r="B16" s="263" t="s">
        <v>156</v>
      </c>
      <c r="C16" s="41"/>
      <c r="D16" s="41"/>
      <c r="E16" s="264">
        <f>E14/E15</f>
        <v>0.91162248758015674</v>
      </c>
    </row>
    <row r="17" spans="1:5" s="7" customFormat="1" ht="14.25">
      <c r="A17" s="54">
        <v>5</v>
      </c>
      <c r="B17" s="128"/>
      <c r="C17" s="129"/>
      <c r="D17" s="129"/>
      <c r="E17" s="265"/>
    </row>
    <row r="18" spans="1:5" s="7" customFormat="1" ht="18" customHeight="1">
      <c r="A18" s="175">
        <v>6</v>
      </c>
      <c r="B18" s="135" t="s">
        <v>159</v>
      </c>
      <c r="C18" s="135"/>
      <c r="D18" s="135"/>
      <c r="E18" s="255"/>
    </row>
    <row r="19" spans="1:5" s="7" customFormat="1" ht="14.25">
      <c r="A19" s="54">
        <v>7</v>
      </c>
      <c r="B19" s="106"/>
      <c r="C19" s="107" t="s">
        <v>192</v>
      </c>
      <c r="D19" s="107"/>
      <c r="E19" s="266">
        <f>'Annual FY25-26'!J149</f>
        <v>7923030.8800000008</v>
      </c>
    </row>
    <row r="20" spans="1:5" s="7" customFormat="1" ht="14.25">
      <c r="A20" s="54">
        <v>8</v>
      </c>
      <c r="B20" s="34"/>
      <c r="C20" s="35" t="s">
        <v>193</v>
      </c>
      <c r="D20" s="42"/>
      <c r="E20" s="267">
        <f>'Annual FY25-26'!J83</f>
        <v>8687752.7599999998</v>
      </c>
    </row>
    <row r="21" spans="1:5" s="7" customFormat="1" ht="18" customHeight="1" thickBot="1">
      <c r="A21" s="165">
        <v>9</v>
      </c>
      <c r="B21" s="166" t="s">
        <v>159</v>
      </c>
      <c r="C21" s="167"/>
      <c r="D21" s="167"/>
      <c r="E21" s="268">
        <f>E19/E20</f>
        <v>0.91197702085619681</v>
      </c>
    </row>
    <row r="22" spans="1:5" s="17" customFormat="1" ht="18.75" customHeight="1" thickTop="1">
      <c r="A22" s="24"/>
      <c r="C22" s="16"/>
      <c r="D22" s="18"/>
      <c r="E22" s="23"/>
    </row>
    <row r="23" spans="1:5" s="17" customFormat="1" ht="15" customHeight="1">
      <c r="A23" s="24"/>
      <c r="C23" s="16"/>
      <c r="D23" s="18"/>
      <c r="E23" s="20"/>
    </row>
    <row r="24" spans="1:5" s="16" customFormat="1" ht="15" customHeight="1">
      <c r="A24" s="24"/>
      <c r="D24" s="22"/>
    </row>
    <row r="25" spans="1:5" s="16" customFormat="1" ht="15" customHeight="1">
      <c r="A25" s="24"/>
    </row>
    <row r="26" spans="1:5" s="16" customFormat="1" ht="15" customHeight="1">
      <c r="A26" s="24"/>
    </row>
    <row r="27" spans="1:5" s="16" customFormat="1" ht="15" customHeight="1">
      <c r="A27" s="24"/>
    </row>
    <row r="28" spans="1:5" s="16" customFormat="1" ht="15" customHeight="1">
      <c r="A28" s="24"/>
    </row>
    <row r="29" spans="1:5" s="16" customFormat="1" ht="15" customHeight="1">
      <c r="A29" s="21"/>
    </row>
    <row r="30" spans="1:5" s="16" customFormat="1" ht="15" customHeight="1">
      <c r="A30" s="21"/>
    </row>
    <row r="31" spans="1:5" s="16" customFormat="1" ht="15" customHeight="1">
      <c r="A31" s="21"/>
    </row>
    <row r="32" spans="1:5" s="16" customFormat="1" ht="15" customHeight="1">
      <c r="A32" s="21"/>
    </row>
    <row r="33" spans="1:1" s="16" customFormat="1" ht="15" customHeight="1">
      <c r="A33" s="21"/>
    </row>
    <row r="34" spans="1:1" s="16" customFormat="1" ht="15" customHeight="1">
      <c r="A34" s="21"/>
    </row>
    <row r="35" spans="1:1" s="16" customFormat="1" ht="15" customHeight="1">
      <c r="A35" s="21"/>
    </row>
    <row r="36" spans="1:1" s="16" customFormat="1" ht="15" customHeight="1">
      <c r="A36" s="21"/>
    </row>
    <row r="37" spans="1:1" s="16" customFormat="1" ht="15" customHeight="1">
      <c r="A37" s="21"/>
    </row>
    <row r="38" spans="1:1" s="16" customFormat="1" ht="15" customHeight="1">
      <c r="A38" s="21"/>
    </row>
    <row r="39" spans="1:1" s="16" customFormat="1" ht="15" customHeight="1">
      <c r="A39" s="21"/>
    </row>
    <row r="40" spans="1:1" s="16" customFormat="1" ht="15" customHeight="1">
      <c r="A40" s="21"/>
    </row>
    <row r="41" spans="1:1" s="16" customFormat="1" ht="15" customHeight="1">
      <c r="A41" s="21"/>
    </row>
    <row r="42" spans="1:1" s="16" customFormat="1" ht="15" customHeight="1">
      <c r="A42" s="21"/>
    </row>
    <row r="43" spans="1:1" s="7" customFormat="1" ht="15" customHeight="1">
      <c r="A43" s="14"/>
    </row>
    <row r="44" spans="1:1" s="7" customFormat="1" ht="15" customHeight="1">
      <c r="A44" s="14"/>
    </row>
    <row r="45" spans="1:1" s="7" customFormat="1" ht="15" customHeight="1">
      <c r="A45" s="14"/>
    </row>
    <row r="46" spans="1:1" s="7" customFormat="1" ht="15" customHeight="1">
      <c r="A46" s="14"/>
    </row>
    <row r="47" spans="1:1" s="7" customFormat="1" ht="15" customHeight="1">
      <c r="A47" s="14"/>
    </row>
    <row r="48" spans="1:1" s="7" customFormat="1" ht="15" customHeight="1">
      <c r="A48" s="14"/>
    </row>
    <row r="49" spans="1:1" s="7" customFormat="1" ht="15" customHeight="1">
      <c r="A49" s="14"/>
    </row>
    <row r="50" spans="1:1" s="7" customFormat="1" ht="15" customHeight="1">
      <c r="A50" s="14"/>
    </row>
    <row r="51" spans="1:1" s="7" customFormat="1" ht="15" customHeight="1">
      <c r="A51" s="14"/>
    </row>
    <row r="52" spans="1:1" s="7" customFormat="1" ht="15" customHeight="1">
      <c r="A52" s="14"/>
    </row>
  </sheetData>
  <sheetProtection insertRows="0"/>
  <mergeCells count="8">
    <mergeCell ref="B12:D12"/>
    <mergeCell ref="A1:E1"/>
    <mergeCell ref="A2:E2"/>
    <mergeCell ref="A3:E3"/>
    <mergeCell ref="D5:D6"/>
    <mergeCell ref="B7:D11"/>
    <mergeCell ref="E7:E8"/>
    <mergeCell ref="E9:E11"/>
  </mergeCells>
  <printOptions horizontalCentered="1"/>
  <pageMargins left="0" right="0" top="0.25" bottom="0.25" header="0.25" footer="0.15"/>
  <pageSetup fitToHeight="4" orientation="landscape" r:id="rId1"/>
  <headerFooter alignWithMargins="0">
    <oddFooter>&amp;L&amp;9&amp;F&amp;C&amp;10Division of Education Finance&amp;12
&amp;R&amp;P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Annual FY25-26</vt:lpstr>
      <vt:lpstr>CSPC Indicators</vt:lpstr>
      <vt:lpstr>'Annual FY25-26'!Print_Area</vt:lpstr>
      <vt:lpstr>'CSPC Indicators'!Print_Area</vt:lpstr>
      <vt:lpstr>'Annual FY25-26'!Print_Titles</vt:lpstr>
      <vt:lpstr>'CSPC Indicators'!Print_Titles</vt:lpstr>
      <vt:lpstr>'CSPC Indicators'!Print_Titles_MI</vt:lpstr>
      <vt:lpstr>Print_Titles_MI</vt:lpstr>
    </vt:vector>
  </TitlesOfParts>
  <Company>LaDOE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cstevens</dc:creator>
  <cp:lastModifiedBy>Brenda Watson</cp:lastModifiedBy>
  <cp:lastPrinted>2025-08-21T22:37:13Z</cp:lastPrinted>
  <dcterms:created xsi:type="dcterms:W3CDTF">2001-08-10T20:35:30Z</dcterms:created>
  <dcterms:modified xsi:type="dcterms:W3CDTF">2025-08-21T22:37:41Z</dcterms:modified>
</cp:coreProperties>
</file>